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852" windowHeight="11808" tabRatio="601" activeTab="0"/>
  </bookViews>
  <sheets>
    <sheet name="DAL 2008" sheetId="1" r:id="rId1"/>
    <sheet name="dal 2002" sheetId="2" r:id="rId2"/>
    <sheet name="dal 1998" sheetId="3" r:id="rId3"/>
    <sheet name="1991-9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<sst xmlns="http://schemas.openxmlformats.org/spreadsheetml/2006/main" count="186" uniqueCount="99">
  <si>
    <t>IMPIEGHI PER SETTORI DI ATTIVITA' ECONOMICA IN PROVINCIA DI MODENA</t>
  </si>
  <si>
    <t>Medie annue e consistenze trimestrali in milioni di euro</t>
  </si>
  <si>
    <t>PERIODI</t>
  </si>
  <si>
    <r>
      <t xml:space="preserve">PUBBLICA AMMINISTRAZIONE </t>
    </r>
    <r>
      <rPr>
        <sz val="6"/>
        <rFont val="Arial"/>
        <family val="2"/>
      </rPr>
      <t>(1)</t>
    </r>
  </si>
  <si>
    <r>
      <t xml:space="preserve">IMPRESE FINANZIARIE E DI ASSICURAZIONE </t>
    </r>
    <r>
      <rPr>
        <sz val="6"/>
        <rFont val="Arial"/>
        <family val="2"/>
      </rPr>
      <t>(21+25+27+29)</t>
    </r>
  </si>
  <si>
    <r>
      <t xml:space="preserve">IMPRESE A PARTECIPAZIONE STATALE  O LOCALE </t>
    </r>
    <r>
      <rPr>
        <sz val="6"/>
        <rFont val="Arial"/>
        <family val="2"/>
      </rPr>
      <t>(47)</t>
    </r>
  </si>
  <si>
    <r>
      <t xml:space="preserve">IMPRESE PRIVATE </t>
    </r>
    <r>
      <rPr>
        <sz val="6"/>
        <rFont val="Arial"/>
        <family val="2"/>
      </rPr>
      <t>(52)</t>
    </r>
  </si>
  <si>
    <r>
      <t xml:space="preserve">SOCIETA' E ASSOCIAZIONI NON FINANZIARIE </t>
    </r>
    <r>
      <rPr>
        <sz val="6"/>
        <rFont val="Arial"/>
        <family val="2"/>
      </rPr>
      <t>(45+49+48)</t>
    </r>
  </si>
  <si>
    <r>
      <t xml:space="preserve">ISTITUZIONI SOCIALI E ALTRE                      </t>
    </r>
    <r>
      <rPr>
        <sz val="6"/>
        <rFont val="Arial"/>
        <family val="2"/>
      </rPr>
      <t>(8)</t>
    </r>
  </si>
  <si>
    <r>
      <t xml:space="preserve">FAMIGLIE CONSUMATRICI                      </t>
    </r>
    <r>
      <rPr>
        <sz val="6"/>
        <rFont val="Arial"/>
        <family val="2"/>
      </rPr>
      <t>(60)</t>
    </r>
  </si>
  <si>
    <r>
      <t xml:space="preserve">FAMIGLIE PRODUTTRICI                    </t>
    </r>
    <r>
      <rPr>
        <sz val="6"/>
        <rFont val="Arial"/>
        <family val="2"/>
      </rPr>
      <t>(62)</t>
    </r>
  </si>
  <si>
    <r>
      <t xml:space="preserve">TOTALE </t>
    </r>
    <r>
      <rPr>
        <sz val="6"/>
        <rFont val="Arial"/>
        <family val="2"/>
      </rPr>
      <t>(03999-99)</t>
    </r>
  </si>
  <si>
    <t>Anno 2002</t>
  </si>
  <si>
    <t>2002   - 1° trim.</t>
  </si>
  <si>
    <t xml:space="preserve">           - 2° trim.</t>
  </si>
  <si>
    <t xml:space="preserve">           - 3° trim.</t>
  </si>
  <si>
    <t xml:space="preserve">           - 4° trim.</t>
  </si>
  <si>
    <t xml:space="preserve">Fonte: Banca d'Italia - Segnalazioni di vigilanza - tab. TDB10275 </t>
  </si>
  <si>
    <t>Medie annue e consistenze trimestrali in miliardi di lire</t>
  </si>
  <si>
    <t>PUBBLICA AMMINISTRAZIONE</t>
  </si>
  <si>
    <t>IMPRESE FINANZIARIE E DI ASSICURAZIONE</t>
  </si>
  <si>
    <t>IMPRESE A PARTECIPAZIONE STATALE  O LOCALE</t>
  </si>
  <si>
    <t>IMPRESE PRIVATE</t>
  </si>
  <si>
    <t>SOCIETA' E ASSOCIAZIONI NON FINANZIARIE</t>
  </si>
  <si>
    <t>ISTITUZIONI SOCIALI E ALTRE</t>
  </si>
  <si>
    <t>FAMIGLIE CONSUMATRICI</t>
  </si>
  <si>
    <t>FAMIGLIE PRODUTTRICI</t>
  </si>
  <si>
    <t>TOTALE</t>
  </si>
  <si>
    <t>Anno 1998</t>
  </si>
  <si>
    <t>Anno 1999</t>
  </si>
  <si>
    <t>Anno 2000</t>
  </si>
  <si>
    <t>Anno 2001</t>
  </si>
  <si>
    <t>1998   - 2° trim.</t>
  </si>
  <si>
    <t>1999   - 1° trim.</t>
  </si>
  <si>
    <t>2000   - 1° trim.</t>
  </si>
  <si>
    <t>2001   - 1° trim.</t>
  </si>
  <si>
    <t>Anno 1991</t>
  </si>
  <si>
    <t>Anno 1992</t>
  </si>
  <si>
    <t>Anno 1993</t>
  </si>
  <si>
    <t>Anno 1994</t>
  </si>
  <si>
    <t>Anno 1995</t>
  </si>
  <si>
    <t>Anno 1996</t>
  </si>
  <si>
    <t>Anno 1997</t>
  </si>
  <si>
    <t>1991 - 1° trim.</t>
  </si>
  <si>
    <t xml:space="preserve"> - 2° trim.</t>
  </si>
  <si>
    <t xml:space="preserve"> - 3° trim.</t>
  </si>
  <si>
    <t xml:space="preserve"> - 4° trim.</t>
  </si>
  <si>
    <t>1992 - 1° trim.</t>
  </si>
  <si>
    <t>1993 - 1° trim.</t>
  </si>
  <si>
    <t>1994 - 1° trim.</t>
  </si>
  <si>
    <t>1995 - 1° trim.</t>
  </si>
  <si>
    <t>1996 - 1° trim.</t>
  </si>
  <si>
    <t>-2° trim.</t>
  </si>
  <si>
    <t>-3° trim.</t>
  </si>
  <si>
    <t>- 4° trim.</t>
  </si>
  <si>
    <t>1997 - 1° trim.</t>
  </si>
  <si>
    <t xml:space="preserve">     - 2° trim.</t>
  </si>
  <si>
    <t xml:space="preserve">     - 3° trim.</t>
  </si>
  <si>
    <t xml:space="preserve">     - 4° trim.</t>
  </si>
  <si>
    <t>Fonte: Banca d'Italia - Segnalazioni di vigilanza - tab. 32 sett. 96 e segg. TDB10252 - Serie interrotta</t>
  </si>
  <si>
    <t>2003   - 1° trim.</t>
  </si>
  <si>
    <t>Anno 2003</t>
  </si>
  <si>
    <t>2004   - 1° trim.</t>
  </si>
  <si>
    <t>Anno 2004</t>
  </si>
  <si>
    <t>Anno 2005</t>
  </si>
  <si>
    <t>2005   - 1° trim.</t>
  </si>
  <si>
    <t>2006   - 1° trim.</t>
  </si>
  <si>
    <t>2007   - 1° trim.</t>
  </si>
  <si>
    <t>Anno 2006</t>
  </si>
  <si>
    <t>Anno 2007</t>
  </si>
  <si>
    <t>2008   - 1° trim.</t>
  </si>
  <si>
    <t>Anno 2008</t>
  </si>
  <si>
    <t>2009   - 1° trim.</t>
  </si>
  <si>
    <t>Anno 2009</t>
  </si>
  <si>
    <t>Anno 2010</t>
  </si>
  <si>
    <t>2010   - 1° trim.</t>
  </si>
  <si>
    <t>2008   - 2° sem.</t>
  </si>
  <si>
    <t>2009   - 1° sem.</t>
  </si>
  <si>
    <t xml:space="preserve">           - 2° sem.</t>
  </si>
  <si>
    <t>2010   - 1° sem.</t>
  </si>
  <si>
    <t>2011   - 1° sem.</t>
  </si>
  <si>
    <t>Anno 2011</t>
  </si>
  <si>
    <t>Fonte: Banca d'Italia - Segnalazioni di vigilanza - tab. TDB10241</t>
  </si>
  <si>
    <t>Medie annue e consistenze semestrali in milioni di euro</t>
  </si>
  <si>
    <t>2012   - 1° sem.</t>
  </si>
  <si>
    <t>2013   - 1° sem.</t>
  </si>
  <si>
    <t>Anno 2012</t>
  </si>
  <si>
    <t>Anno 2013</t>
  </si>
  <si>
    <t>PUBBLICA AMMINISTRAZIONE (S13)</t>
  </si>
  <si>
    <t>SOCIETA' NON FINANZIARIE     (S11)</t>
  </si>
  <si>
    <t>SOC. FINANZIARIE DIVERSE DA ISTITUZIONI FINANZIARIE MONETARIE (S12BI7)</t>
  </si>
  <si>
    <t>IMPRESE FINANZIARIE E ASSICURATIVE (S12BI38)</t>
  </si>
  <si>
    <t>FAMIGLIE CONSUMATRICI E ALTRO (SBI28)</t>
  </si>
  <si>
    <t>CLIENTELA ORDINARIA ESCLUSE ISTITUZIONI FINANZIARIE MONETARIE         (SBI42)</t>
  </si>
  <si>
    <t>2014   - 1° sem.</t>
  </si>
  <si>
    <t>Anno 2014</t>
  </si>
  <si>
    <t>2015   - 1° sem.</t>
  </si>
  <si>
    <t>Anno 2015</t>
  </si>
  <si>
    <t>FAMIGLIE PRODUTTRICI (S14BI2)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</si>
</sst>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0"/>
    <numFmt numFmtId="187" formatCode="0.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86" fontId="5" fillId="0" borderId="0" xfId="0" applyNumberFormat="1" applyFont="1" applyBorder="1" applyAlignment="1">
      <alignment horizontal="right" vertical="center" wrapText="1"/>
    </xf>
    <xf numFmtId="186" fontId="5" fillId="0" borderId="0" xfId="0" applyNumberFormat="1" applyFont="1" applyBorder="1" applyAlignment="1">
      <alignment horizontal="center" vertical="center" wrapText="1"/>
    </xf>
    <xf numFmtId="186" fontId="5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5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polazione"/>
      <sheetName val="Lavoro"/>
      <sheetName val="Redd. e Cons."/>
      <sheetName val="Imprese"/>
      <sheetName val="Agricoltura"/>
      <sheetName val="Ind. Manifatt."/>
      <sheetName val="Edilizia"/>
      <sheetName val="Import Export"/>
      <sheetName val="Comm. e Servizi"/>
      <sheetName val="Credito e insol."/>
      <sheetName val="Prezzi"/>
      <sheetName val="Modulo1"/>
      <sheetName val="Modulo2"/>
    </sheetNames>
    <definedNames>
      <definedName name="chiusur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0">
      <selection activeCell="G23" sqref="G23"/>
    </sheetView>
  </sheetViews>
  <sheetFormatPr defaultColWidth="9.140625" defaultRowHeight="12.75"/>
  <cols>
    <col min="1" max="1" width="13.00390625" style="0" customWidth="1"/>
    <col min="2" max="2" width="15.7109375" style="0" customWidth="1"/>
    <col min="3" max="3" width="14.8515625" style="0" customWidth="1"/>
    <col min="4" max="4" width="15.28125" style="0" customWidth="1"/>
    <col min="5" max="5" width="10.7109375" style="0" customWidth="1"/>
    <col min="6" max="7" width="12.140625" style="0" customWidth="1"/>
    <col min="8" max="8" width="17.00390625" style="0" customWidth="1"/>
    <col min="9" max="9" width="11.57421875" style="0" customWidth="1"/>
    <col min="10" max="10" width="10.140625" style="0" bestFit="1" customWidth="1"/>
  </cols>
  <sheetData>
    <row r="1" spans="1:8" ht="13.5">
      <c r="A1" s="16" t="s">
        <v>0</v>
      </c>
      <c r="B1" s="17"/>
      <c r="C1" s="17"/>
      <c r="D1" s="17"/>
      <c r="E1" s="17"/>
      <c r="F1" s="17"/>
      <c r="G1" s="17"/>
      <c r="H1" s="17"/>
    </row>
    <row r="2" spans="1:8" ht="13.5">
      <c r="A2" s="19" t="s">
        <v>83</v>
      </c>
      <c r="B2" s="20"/>
      <c r="C2" s="20"/>
      <c r="D2" s="20"/>
      <c r="E2" s="20"/>
      <c r="F2" s="20"/>
      <c r="G2" s="20"/>
      <c r="H2" s="20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51">
      <c r="A4" s="1" t="s">
        <v>2</v>
      </c>
      <c r="B4" s="1" t="s">
        <v>88</v>
      </c>
      <c r="C4" s="1" t="s">
        <v>89</v>
      </c>
      <c r="D4" s="1" t="s">
        <v>90</v>
      </c>
      <c r="E4" s="1" t="s">
        <v>98</v>
      </c>
      <c r="F4" s="1" t="s">
        <v>91</v>
      </c>
      <c r="G4" s="1" t="s">
        <v>92</v>
      </c>
      <c r="H4" s="1" t="s">
        <v>93</v>
      </c>
    </row>
    <row r="5" spans="1:8" ht="12.75">
      <c r="A5" s="5" t="s">
        <v>71</v>
      </c>
      <c r="B5" s="22">
        <f aca="true" t="shared" si="0" ref="B5:H5">B14</f>
        <v>91.337</v>
      </c>
      <c r="C5" s="22">
        <f t="shared" si="0"/>
        <v>16067.205</v>
      </c>
      <c r="D5" s="22">
        <f t="shared" si="0"/>
        <v>0</v>
      </c>
      <c r="E5" s="22">
        <f t="shared" si="0"/>
        <v>1392.294</v>
      </c>
      <c r="F5" s="22">
        <f t="shared" si="0"/>
        <v>1091.382</v>
      </c>
      <c r="G5" s="22">
        <f t="shared" si="0"/>
        <v>4317.092</v>
      </c>
      <c r="H5" s="22">
        <f t="shared" si="0"/>
        <v>22959.31</v>
      </c>
    </row>
    <row r="6" spans="1:8" ht="12.75">
      <c r="A6" s="5" t="s">
        <v>73</v>
      </c>
      <c r="B6" s="22">
        <f aca="true" t="shared" si="1" ref="B6:G6">(B15+B16)/2</f>
        <v>73.68</v>
      </c>
      <c r="C6" s="22">
        <f t="shared" si="1"/>
        <v>15975.403</v>
      </c>
      <c r="D6" s="22">
        <f t="shared" si="1"/>
        <v>0</v>
      </c>
      <c r="E6" s="22">
        <f t="shared" si="1"/>
        <v>1344.2150000000001</v>
      </c>
      <c r="F6" s="22">
        <f t="shared" si="1"/>
        <v>1357.5365</v>
      </c>
      <c r="G6" s="22">
        <f t="shared" si="1"/>
        <v>4353.6285</v>
      </c>
      <c r="H6" s="22">
        <f>(H15+H16)/2</f>
        <v>23104.463</v>
      </c>
    </row>
    <row r="7" spans="1:8" ht="12.75">
      <c r="A7" s="5" t="s">
        <v>74</v>
      </c>
      <c r="B7" s="22">
        <f aca="true" t="shared" si="2" ref="B7:H7">(B18+B17)/2</f>
        <v>111.72049999999999</v>
      </c>
      <c r="C7" s="22">
        <f t="shared" si="2"/>
        <v>16806.432</v>
      </c>
      <c r="D7" s="22">
        <f t="shared" si="2"/>
        <v>0</v>
      </c>
      <c r="E7" s="22">
        <f t="shared" si="2"/>
        <v>1471.851</v>
      </c>
      <c r="F7" s="22">
        <f t="shared" si="2"/>
        <v>789.2695</v>
      </c>
      <c r="G7" s="22">
        <f t="shared" si="2"/>
        <v>5510.392</v>
      </c>
      <c r="H7" s="22">
        <f t="shared" si="2"/>
        <v>24689.665</v>
      </c>
    </row>
    <row r="8" spans="1:8" ht="12.75">
      <c r="A8" s="5" t="s">
        <v>81</v>
      </c>
      <c r="B8" s="22">
        <f>(B19+B20)/2</f>
        <v>125.6395</v>
      </c>
      <c r="C8" s="22">
        <f>(C19+C20)/2</f>
        <v>17966.614999999998</v>
      </c>
      <c r="D8" s="22">
        <f>(D19+D20)/2</f>
        <v>557.7565</v>
      </c>
      <c r="E8" s="22">
        <f>(E19+E20)/2</f>
        <v>1500.7404999999999</v>
      </c>
      <c r="F8" s="22"/>
      <c r="G8" s="22">
        <f>(G19+G20)/2</f>
        <v>5750.053</v>
      </c>
      <c r="H8" s="22">
        <f>(H19+H20)/2</f>
        <v>25900.8045</v>
      </c>
    </row>
    <row r="9" spans="1:10" ht="12.75">
      <c r="A9" s="5" t="s">
        <v>86</v>
      </c>
      <c r="B9" s="22">
        <f>(B22+B21)/2</f>
        <v>276.55600000000004</v>
      </c>
      <c r="C9" s="22">
        <f>(C22+C21)/2</f>
        <v>16956.773999999998</v>
      </c>
      <c r="D9" s="22">
        <f>(D22+D21)/2</f>
        <v>735.1355</v>
      </c>
      <c r="E9" s="22">
        <f>(E22+E21)/2</f>
        <v>1421.7935</v>
      </c>
      <c r="F9" s="22"/>
      <c r="G9" s="22">
        <f>(G22+G21)/2</f>
        <v>5729.6185000000005</v>
      </c>
      <c r="H9" s="22">
        <f>(H21+H22)/2</f>
        <v>25119.8775</v>
      </c>
      <c r="J9" s="25"/>
    </row>
    <row r="10" spans="1:10" ht="12.75">
      <c r="A10" s="5" t="s">
        <v>87</v>
      </c>
      <c r="B10" s="22">
        <f>(B23+B24)/2</f>
        <v>681.921</v>
      </c>
      <c r="C10" s="22">
        <f>(C23+C24)/2</f>
        <v>16133.3015</v>
      </c>
      <c r="D10" s="22">
        <f>(D23+D24)/2</f>
        <v>858.1590000000001</v>
      </c>
      <c r="E10" s="22">
        <f>(E23+E24)/2</f>
        <v>1351.949</v>
      </c>
      <c r="F10" s="22"/>
      <c r="G10" s="22">
        <f>(G23+G24)/2</f>
        <v>5655.9685</v>
      </c>
      <c r="H10" s="22">
        <f>(H23+H24)/2</f>
        <v>24681.299</v>
      </c>
      <c r="J10" s="25"/>
    </row>
    <row r="11" spans="1:10" ht="12.75">
      <c r="A11" s="5" t="s">
        <v>95</v>
      </c>
      <c r="B11" s="22">
        <f aca="true" t="shared" si="3" ref="B11:E12">(B25+B26)/2</f>
        <v>857.9870000000001</v>
      </c>
      <c r="C11" s="22">
        <f t="shared" si="3"/>
        <v>15737.843499999999</v>
      </c>
      <c r="D11" s="22">
        <f t="shared" si="3"/>
        <v>1032.999</v>
      </c>
      <c r="E11" s="22">
        <f t="shared" si="3"/>
        <v>1324.4765</v>
      </c>
      <c r="F11" s="22"/>
      <c r="G11" s="22">
        <f>(G25+G26)/2</f>
        <v>5614.002</v>
      </c>
      <c r="H11" s="22">
        <f>(H25+H26)/2</f>
        <v>24567.308</v>
      </c>
      <c r="J11" s="25"/>
    </row>
    <row r="12" spans="1:10" ht="12.75">
      <c r="A12" s="5" t="s">
        <v>97</v>
      </c>
      <c r="B12" s="22">
        <f t="shared" si="3"/>
        <v>1044.027</v>
      </c>
      <c r="C12" s="22">
        <f t="shared" si="3"/>
        <v>15468.787</v>
      </c>
      <c r="D12" s="22">
        <f t="shared" si="3"/>
        <v>1097.9995</v>
      </c>
      <c r="E12" s="22">
        <f t="shared" si="3"/>
        <v>1314.319</v>
      </c>
      <c r="F12" s="22"/>
      <c r="G12" s="22">
        <f>(G26+G27)/2</f>
        <v>5642.85</v>
      </c>
      <c r="H12" s="22">
        <f>(H26+H27)/2</f>
        <v>24567.982500000002</v>
      </c>
      <c r="J12" s="25"/>
    </row>
    <row r="13" spans="1:8" ht="12.75">
      <c r="A13" s="5"/>
      <c r="B13" s="23"/>
      <c r="C13" s="23"/>
      <c r="D13" s="23"/>
      <c r="E13" s="23"/>
      <c r="F13" s="23"/>
      <c r="G13" s="23"/>
      <c r="H13" s="23"/>
    </row>
    <row r="14" spans="1:8" ht="12.75">
      <c r="A14" s="11" t="s">
        <v>76</v>
      </c>
      <c r="B14" s="24">
        <v>91.337</v>
      </c>
      <c r="C14" s="24">
        <v>16067.205</v>
      </c>
      <c r="D14" s="24"/>
      <c r="E14" s="24">
        <v>1392.294</v>
      </c>
      <c r="F14" s="24">
        <v>1091.382</v>
      </c>
      <c r="G14" s="24">
        <v>4317.092</v>
      </c>
      <c r="H14" s="24">
        <f>SUM(B14:G14)</f>
        <v>22959.31</v>
      </c>
    </row>
    <row r="15" spans="1:9" ht="12.75">
      <c r="A15" s="11" t="s">
        <v>77</v>
      </c>
      <c r="B15" s="24">
        <v>73.177</v>
      </c>
      <c r="C15" s="24">
        <v>15992.308</v>
      </c>
      <c r="D15" s="24"/>
      <c r="E15" s="24">
        <v>1361.105</v>
      </c>
      <c r="F15" s="24">
        <v>1442.291</v>
      </c>
      <c r="G15" s="24">
        <v>4309.464</v>
      </c>
      <c r="H15" s="24">
        <f aca="true" t="shared" si="4" ref="H15:H24">SUM(B15:G15)</f>
        <v>23178.345</v>
      </c>
      <c r="I15" s="11" t="s">
        <v>77</v>
      </c>
    </row>
    <row r="16" spans="1:9" ht="12.75">
      <c r="A16" s="11" t="s">
        <v>78</v>
      </c>
      <c r="B16" s="24">
        <v>74.183</v>
      </c>
      <c r="C16" s="24">
        <v>15958.498</v>
      </c>
      <c r="D16" s="24"/>
      <c r="E16" s="24">
        <v>1327.325</v>
      </c>
      <c r="F16" s="24">
        <v>1272.782</v>
      </c>
      <c r="G16" s="24">
        <v>4397.793</v>
      </c>
      <c r="H16" s="24">
        <f t="shared" si="4"/>
        <v>23030.581</v>
      </c>
      <c r="I16" s="11" t="s">
        <v>78</v>
      </c>
    </row>
    <row r="17" spans="1:9" ht="12.75">
      <c r="A17" s="11" t="s">
        <v>79</v>
      </c>
      <c r="B17" s="24">
        <v>99.615</v>
      </c>
      <c r="C17" s="24">
        <v>15916.849</v>
      </c>
      <c r="D17" s="24"/>
      <c r="E17" s="24">
        <v>1443.792</v>
      </c>
      <c r="F17" s="24">
        <v>854.096</v>
      </c>
      <c r="G17" s="24">
        <v>5227.155</v>
      </c>
      <c r="H17" s="24">
        <f t="shared" si="4"/>
        <v>23541.507</v>
      </c>
      <c r="I17" s="11" t="s">
        <v>79</v>
      </c>
    </row>
    <row r="18" spans="1:9" ht="12.75">
      <c r="A18" s="11" t="s">
        <v>78</v>
      </c>
      <c r="B18" s="24">
        <v>123.826</v>
      </c>
      <c r="C18" s="24">
        <v>17696.015</v>
      </c>
      <c r="D18" s="24"/>
      <c r="E18" s="24">
        <v>1499.91</v>
      </c>
      <c r="F18" s="24">
        <v>724.443</v>
      </c>
      <c r="G18" s="24">
        <v>5793.629</v>
      </c>
      <c r="H18" s="24">
        <f t="shared" si="4"/>
        <v>25837.823</v>
      </c>
      <c r="I18" s="11" t="s">
        <v>78</v>
      </c>
    </row>
    <row r="19" spans="1:9" ht="12.75">
      <c r="A19" s="11" t="s">
        <v>80</v>
      </c>
      <c r="B19" s="24">
        <v>115.163</v>
      </c>
      <c r="C19" s="24">
        <v>18359.02</v>
      </c>
      <c r="D19" s="24">
        <v>519.886</v>
      </c>
      <c r="E19" s="24">
        <v>1515.163</v>
      </c>
      <c r="F19" s="24"/>
      <c r="G19" s="24">
        <v>5819.694</v>
      </c>
      <c r="H19" s="24">
        <f t="shared" si="4"/>
        <v>26328.926</v>
      </c>
      <c r="I19" s="11" t="s">
        <v>80</v>
      </c>
    </row>
    <row r="20" spans="1:9" ht="12.75">
      <c r="A20" s="11" t="s">
        <v>78</v>
      </c>
      <c r="B20" s="24">
        <v>136.116</v>
      </c>
      <c r="C20" s="24">
        <v>17574.21</v>
      </c>
      <c r="D20" s="24">
        <v>595.627</v>
      </c>
      <c r="E20" s="24">
        <v>1486.318</v>
      </c>
      <c r="F20" s="24"/>
      <c r="G20" s="24">
        <v>5680.412</v>
      </c>
      <c r="H20" s="24">
        <f t="shared" si="4"/>
        <v>25472.683</v>
      </c>
      <c r="I20" s="11" t="s">
        <v>78</v>
      </c>
    </row>
    <row r="21" spans="1:9" ht="12.75">
      <c r="A21" s="11" t="s">
        <v>84</v>
      </c>
      <c r="B21" s="24">
        <v>105.101</v>
      </c>
      <c r="C21" s="24">
        <v>17099.163</v>
      </c>
      <c r="D21" s="24">
        <v>612.245</v>
      </c>
      <c r="E21" s="24">
        <v>1438.644</v>
      </c>
      <c r="F21" s="24"/>
      <c r="G21" s="24">
        <v>5698.087</v>
      </c>
      <c r="H21" s="24">
        <f t="shared" si="4"/>
        <v>24953.239999999998</v>
      </c>
      <c r="I21" s="11" t="s">
        <v>84</v>
      </c>
    </row>
    <row r="22" spans="1:9" ht="12.75">
      <c r="A22" s="11" t="s">
        <v>78</v>
      </c>
      <c r="B22" s="24">
        <v>448.011</v>
      </c>
      <c r="C22" s="24">
        <v>16814.385</v>
      </c>
      <c r="D22" s="24">
        <v>858.026</v>
      </c>
      <c r="E22" s="24">
        <v>1404.943</v>
      </c>
      <c r="F22" s="24"/>
      <c r="G22" s="24">
        <v>5761.15</v>
      </c>
      <c r="H22" s="24">
        <f>SUM(B22:G22)</f>
        <v>25286.515</v>
      </c>
      <c r="I22" s="11" t="s">
        <v>78</v>
      </c>
    </row>
    <row r="23" spans="1:9" ht="12.75">
      <c r="A23" s="11" t="s">
        <v>85</v>
      </c>
      <c r="B23" s="24">
        <v>705.18</v>
      </c>
      <c r="C23" s="24">
        <v>16336.363</v>
      </c>
      <c r="D23" s="24">
        <v>731.272</v>
      </c>
      <c r="E23" s="24">
        <v>1358.353</v>
      </c>
      <c r="F23" s="24"/>
      <c r="G23" s="24">
        <v>5675.29</v>
      </c>
      <c r="H23" s="24">
        <f t="shared" si="4"/>
        <v>24806.458</v>
      </c>
      <c r="I23" s="11" t="s">
        <v>85</v>
      </c>
    </row>
    <row r="24" spans="1:9" ht="12.75">
      <c r="A24" s="11" t="s">
        <v>78</v>
      </c>
      <c r="B24" s="24">
        <v>658.662</v>
      </c>
      <c r="C24" s="24">
        <v>15930.24</v>
      </c>
      <c r="D24" s="24">
        <v>985.046</v>
      </c>
      <c r="E24" s="24">
        <v>1345.545</v>
      </c>
      <c r="F24" s="24"/>
      <c r="G24" s="24">
        <v>5636.647</v>
      </c>
      <c r="H24" s="24">
        <f t="shared" si="4"/>
        <v>24556.139999999996</v>
      </c>
      <c r="I24" s="11" t="s">
        <v>78</v>
      </c>
    </row>
    <row r="25" spans="1:9" ht="12.75">
      <c r="A25" s="11" t="s">
        <v>94</v>
      </c>
      <c r="B25" s="24">
        <v>756.821</v>
      </c>
      <c r="C25" s="24">
        <v>16108.444</v>
      </c>
      <c r="D25" s="24">
        <v>842.113</v>
      </c>
      <c r="E25" s="24">
        <v>1327.161</v>
      </c>
      <c r="F25" s="24"/>
      <c r="G25" s="24">
        <v>5585.19</v>
      </c>
      <c r="H25" s="24">
        <f>SUM(B25:G25)</f>
        <v>24619.729</v>
      </c>
      <c r="I25" s="11" t="s">
        <v>94</v>
      </c>
    </row>
    <row r="26" spans="1:9" ht="12.75">
      <c r="A26" s="11" t="s">
        <v>78</v>
      </c>
      <c r="B26" s="24">
        <v>959.153</v>
      </c>
      <c r="C26" s="24">
        <v>15367.243</v>
      </c>
      <c r="D26" s="24">
        <v>1223.885</v>
      </c>
      <c r="E26" s="24">
        <v>1321.792</v>
      </c>
      <c r="F26" s="24"/>
      <c r="G26" s="24">
        <v>5642.814</v>
      </c>
      <c r="H26" s="24">
        <f>SUM(B26:G26)</f>
        <v>24514.887000000002</v>
      </c>
      <c r="I26" s="11" t="s">
        <v>78</v>
      </c>
    </row>
    <row r="27" spans="1:9" ht="12.75">
      <c r="A27" s="11" t="s">
        <v>96</v>
      </c>
      <c r="B27" s="24">
        <v>1128.901</v>
      </c>
      <c r="C27" s="24">
        <v>15570.331</v>
      </c>
      <c r="D27" s="24">
        <v>972.114</v>
      </c>
      <c r="E27" s="24">
        <v>1306.846</v>
      </c>
      <c r="F27" s="24"/>
      <c r="G27" s="24">
        <v>5642.886</v>
      </c>
      <c r="H27" s="24">
        <f>SUM(B27:G27)</f>
        <v>24621.078</v>
      </c>
      <c r="I27" s="11" t="s">
        <v>96</v>
      </c>
    </row>
    <row r="28" spans="1:9" ht="12.75">
      <c r="A28" s="11" t="s">
        <v>78</v>
      </c>
      <c r="B28" s="24">
        <v>1314.105</v>
      </c>
      <c r="C28" s="24">
        <v>15357.775</v>
      </c>
      <c r="D28" s="24">
        <v>1028.03</v>
      </c>
      <c r="E28" s="24">
        <v>1297.46</v>
      </c>
      <c r="F28" s="24"/>
      <c r="G28" s="24">
        <v>5679.265</v>
      </c>
      <c r="H28" s="24">
        <f>SUM(B28:G28)</f>
        <v>24676.635</v>
      </c>
      <c r="I28" s="11" t="s">
        <v>78</v>
      </c>
    </row>
    <row r="29" ht="12.75">
      <c r="A29" s="11"/>
    </row>
    <row r="30" ht="12.75">
      <c r="A30" s="15" t="s">
        <v>82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J22" sqref="J22"/>
    </sheetView>
  </sheetViews>
  <sheetFormatPr defaultColWidth="9.140625" defaultRowHeight="12.75"/>
  <cols>
    <col min="1" max="1" width="13.00390625" style="0" customWidth="1"/>
    <col min="2" max="2" width="15.7109375" style="0" customWidth="1"/>
    <col min="3" max="3" width="14.8515625" style="0" customWidth="1"/>
    <col min="4" max="4" width="16.57421875" style="0" customWidth="1"/>
    <col min="6" max="6" width="12.140625" style="0" customWidth="1"/>
    <col min="8" max="8" width="15.00390625" style="0" customWidth="1"/>
    <col min="9" max="9" width="14.140625" style="0" customWidth="1"/>
  </cols>
  <sheetData>
    <row r="1" spans="1:10" ht="13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48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1:10" ht="12.75">
      <c r="A5" s="5" t="s">
        <v>12</v>
      </c>
      <c r="B5" s="22">
        <f>SUM(B15:B18)/4</f>
        <v>117.38475000000001</v>
      </c>
      <c r="C5" s="22">
        <f aca="true" t="shared" si="0" ref="C5:J5">SUM(C15:C18)/4</f>
        <v>652.51325</v>
      </c>
      <c r="D5" s="22">
        <f t="shared" si="0"/>
        <v>40.664249999999996</v>
      </c>
      <c r="E5" s="22">
        <f t="shared" si="0"/>
        <v>8733.405999999999</v>
      </c>
      <c r="F5" s="22">
        <f t="shared" si="0"/>
        <v>1417.8815</v>
      </c>
      <c r="G5" s="22">
        <f t="shared" si="0"/>
        <v>26.986</v>
      </c>
      <c r="H5" s="22">
        <f t="shared" si="0"/>
        <v>3046.71375</v>
      </c>
      <c r="I5" s="22">
        <f t="shared" si="0"/>
        <v>1046.2134999999998</v>
      </c>
      <c r="J5" s="22">
        <f t="shared" si="0"/>
        <v>15081.762999999999</v>
      </c>
    </row>
    <row r="6" spans="1:10" ht="12.75">
      <c r="A6" s="5" t="s">
        <v>61</v>
      </c>
      <c r="B6" s="22">
        <f>SUM(B19:B22)/4</f>
        <v>109.685</v>
      </c>
      <c r="C6" s="22">
        <f aca="true" t="shared" si="1" ref="C6:I6">SUM(C19:C22)/4</f>
        <v>358.35725</v>
      </c>
      <c r="D6" s="22">
        <f t="shared" si="1"/>
        <v>15.537</v>
      </c>
      <c r="E6" s="22">
        <f t="shared" si="1"/>
        <v>9113.418999999998</v>
      </c>
      <c r="F6" s="22">
        <f>SUM(F19:F22)/4</f>
        <v>1446.3685</v>
      </c>
      <c r="G6" s="22">
        <f t="shared" si="1"/>
        <v>31.07175</v>
      </c>
      <c r="H6" s="22">
        <f t="shared" si="1"/>
        <v>3390.1974999999998</v>
      </c>
      <c r="I6" s="22">
        <f t="shared" si="1"/>
        <v>1100.787</v>
      </c>
      <c r="J6" s="22">
        <f>SUM(J19:J22)/4</f>
        <v>15565.422999999999</v>
      </c>
    </row>
    <row r="7" spans="1:10" ht="12.75">
      <c r="A7" s="5" t="s">
        <v>63</v>
      </c>
      <c r="B7" s="22">
        <f>SUM(B23:B26)/4</f>
        <v>171.56925</v>
      </c>
      <c r="C7" s="22">
        <f>SUM(C23:C26)/4</f>
        <v>363.93999999999994</v>
      </c>
      <c r="D7" s="22">
        <f aca="true" t="shared" si="2" ref="D7:J7">SUM(D23:D26)/4</f>
        <v>14.78125</v>
      </c>
      <c r="E7" s="22">
        <f t="shared" si="2"/>
        <v>9818.99225</v>
      </c>
      <c r="F7" s="22">
        <f t="shared" si="2"/>
        <v>1452.1885</v>
      </c>
      <c r="G7" s="22">
        <f t="shared" si="2"/>
        <v>33.136</v>
      </c>
      <c r="H7" s="22">
        <f t="shared" si="2"/>
        <v>3855.6622500000003</v>
      </c>
      <c r="I7" s="22">
        <f t="shared" si="2"/>
        <v>1153.0255</v>
      </c>
      <c r="J7" s="22">
        <f t="shared" si="2"/>
        <v>16863.295</v>
      </c>
    </row>
    <row r="8" spans="1:10" ht="12.75">
      <c r="A8" s="5" t="s">
        <v>64</v>
      </c>
      <c r="B8" s="22">
        <f>SUM(B27:B30)/4</f>
        <v>194.96875</v>
      </c>
      <c r="C8" s="22">
        <f aca="true" t="shared" si="3" ref="C8:I8">SUM(C27:C30)/4</f>
        <v>270.28225000000003</v>
      </c>
      <c r="D8" s="22">
        <f t="shared" si="3"/>
        <v>26.0375</v>
      </c>
      <c r="E8" s="22">
        <f t="shared" si="3"/>
        <v>10551.656500000001</v>
      </c>
      <c r="F8" s="22">
        <f t="shared" si="3"/>
        <v>1423.7314999999999</v>
      </c>
      <c r="G8" s="22">
        <f t="shared" si="3"/>
        <v>35.10424999999999</v>
      </c>
      <c r="H8" s="22">
        <f t="shared" si="3"/>
        <v>4365.51675</v>
      </c>
      <c r="I8" s="22">
        <f t="shared" si="3"/>
        <v>1259.55775</v>
      </c>
      <c r="J8" s="22">
        <f>SUM(B8:I8)</f>
        <v>18126.85525</v>
      </c>
    </row>
    <row r="9" spans="1:10" ht="12.75">
      <c r="A9" s="5" t="s">
        <v>68</v>
      </c>
      <c r="B9" s="22">
        <f>SUM(B31:B34)/4</f>
        <v>201.7065</v>
      </c>
      <c r="C9" s="22">
        <f>SUM(C31:C34)/4</f>
        <v>246.37075</v>
      </c>
      <c r="D9" s="22">
        <f aca="true" t="shared" si="4" ref="D9:I9">SUM(D31:D34)/4</f>
        <v>29.823499999999996</v>
      </c>
      <c r="E9" s="22">
        <f t="shared" si="4"/>
        <v>11722.855</v>
      </c>
      <c r="F9" s="22">
        <f t="shared" si="4"/>
        <v>1446.5355</v>
      </c>
      <c r="G9" s="22">
        <f t="shared" si="4"/>
        <v>43.42075</v>
      </c>
      <c r="H9" s="22">
        <f t="shared" si="4"/>
        <v>4989.3125</v>
      </c>
      <c r="I9" s="22">
        <f t="shared" si="4"/>
        <v>1337.49625</v>
      </c>
      <c r="J9" s="22">
        <f>SUM(B9:I9)</f>
        <v>20017.52075</v>
      </c>
    </row>
    <row r="10" spans="1:10" ht="12.75">
      <c r="A10" s="5" t="s">
        <v>69</v>
      </c>
      <c r="B10" s="22">
        <f>SUM(B35:B38)/4</f>
        <v>185.8735</v>
      </c>
      <c r="C10" s="22">
        <f aca="true" t="shared" si="5" ref="C10:I10">SUM(C35:C38)/4</f>
        <v>261.97925</v>
      </c>
      <c r="D10" s="22">
        <f t="shared" si="5"/>
        <v>30.488749999999996</v>
      </c>
      <c r="E10" s="22">
        <f t="shared" si="5"/>
        <v>13009.601999999999</v>
      </c>
      <c r="F10" s="22">
        <f t="shared" si="5"/>
        <v>1470.9795</v>
      </c>
      <c r="G10" s="22">
        <f t="shared" si="5"/>
        <v>49.602000000000004</v>
      </c>
      <c r="H10" s="22">
        <f t="shared" si="5"/>
        <v>5355.025</v>
      </c>
      <c r="I10" s="22">
        <f t="shared" si="5"/>
        <v>1347.62175</v>
      </c>
      <c r="J10" s="22">
        <f>SUM(B10:I10)</f>
        <v>21711.171749999998</v>
      </c>
    </row>
    <row r="11" spans="1:10" ht="12.75">
      <c r="A11" s="5" t="s">
        <v>71</v>
      </c>
      <c r="B11" s="22">
        <f>SUM(B39:B42)/4</f>
        <v>176.09224999999998</v>
      </c>
      <c r="C11" s="22">
        <f aca="true" t="shared" si="6" ref="C11:J11">SUM(C39:C42)/4</f>
        <v>225.72925</v>
      </c>
      <c r="D11" s="22">
        <f t="shared" si="6"/>
        <v>24.619500000000002</v>
      </c>
      <c r="E11" s="22">
        <f t="shared" si="6"/>
        <v>14494.385999999999</v>
      </c>
      <c r="F11" s="22">
        <f t="shared" si="6"/>
        <v>1477.8424999999997</v>
      </c>
      <c r="G11" s="22">
        <f t="shared" si="6"/>
        <v>60.0635</v>
      </c>
      <c r="H11" s="22">
        <f t="shared" si="6"/>
        <v>5601.71825</v>
      </c>
      <c r="I11" s="22">
        <f t="shared" si="6"/>
        <v>1369.136</v>
      </c>
      <c r="J11" s="22">
        <f t="shared" si="6"/>
        <v>23429.58725</v>
      </c>
    </row>
    <row r="12" spans="1:10" ht="12.75">
      <c r="A12" s="5" t="s">
        <v>73</v>
      </c>
      <c r="B12" s="22">
        <f>SUM(B43:B46)/4</f>
        <v>188.924</v>
      </c>
      <c r="C12" s="22">
        <f aca="true" t="shared" si="7" ref="C12:J12">SUM(C43:C46)/4</f>
        <v>216.07349999999997</v>
      </c>
      <c r="D12" s="22">
        <f t="shared" si="7"/>
        <v>31.875500000000002</v>
      </c>
      <c r="E12" s="22">
        <f t="shared" si="7"/>
        <v>14686.454249999999</v>
      </c>
      <c r="F12" s="22">
        <f t="shared" si="7"/>
        <v>1402.2800000000002</v>
      </c>
      <c r="G12" s="22">
        <f t="shared" si="7"/>
        <v>65.0215</v>
      </c>
      <c r="H12" s="22">
        <f t="shared" si="7"/>
        <v>5560.23125</v>
      </c>
      <c r="I12" s="22">
        <f>SUM(I43:I46)/4</f>
        <v>1363.2455</v>
      </c>
      <c r="J12" s="22">
        <f t="shared" si="7"/>
        <v>23514.105499999998</v>
      </c>
    </row>
    <row r="13" spans="1:10" ht="12.75">
      <c r="A13" s="5" t="s">
        <v>74</v>
      </c>
      <c r="B13" s="22">
        <f>SUM(B47:B50)/4</f>
        <v>227.88975</v>
      </c>
      <c r="C13" s="22">
        <f aca="true" t="shared" si="8" ref="C13:J13">SUM(C47:C50)/4</f>
        <v>198.89575000000002</v>
      </c>
      <c r="D13" s="22">
        <f t="shared" si="8"/>
        <v>36.96125</v>
      </c>
      <c r="E13" s="22">
        <f t="shared" si="8"/>
        <v>14563.9935</v>
      </c>
      <c r="F13" s="22">
        <f t="shared" si="8"/>
        <v>1383.92825</v>
      </c>
      <c r="G13" s="22">
        <f t="shared" si="8"/>
        <v>73.218</v>
      </c>
      <c r="H13" s="22">
        <f t="shared" si="8"/>
        <v>6593.6447499999995</v>
      </c>
      <c r="I13" s="22">
        <f t="shared" si="8"/>
        <v>1460.95775</v>
      </c>
      <c r="J13" s="22">
        <f t="shared" si="8"/>
        <v>24539.488999999998</v>
      </c>
    </row>
    <row r="14" spans="1:10" ht="12.75">
      <c r="A14" s="5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.75">
      <c r="A15" s="11" t="s">
        <v>13</v>
      </c>
      <c r="B15" s="24">
        <v>115.186</v>
      </c>
      <c r="C15" s="24">
        <f>369.829+10.402+0.073</f>
        <v>380.304</v>
      </c>
      <c r="D15" s="24">
        <v>42.245</v>
      </c>
      <c r="E15" s="24">
        <v>8671.941</v>
      </c>
      <c r="F15" s="24">
        <f>16.625+685.038+718.34</f>
        <v>1420.0030000000002</v>
      </c>
      <c r="G15" s="24">
        <v>25.103</v>
      </c>
      <c r="H15" s="24">
        <v>2885.014</v>
      </c>
      <c r="I15" s="24">
        <v>1014.852</v>
      </c>
      <c r="J15" s="24">
        <f aca="true" t="shared" si="9" ref="J15:J50">SUM(B15:I15)</f>
        <v>14554.648000000003</v>
      </c>
    </row>
    <row r="16" spans="1:10" ht="12.75">
      <c r="A16" s="11" t="s">
        <v>14</v>
      </c>
      <c r="B16" s="24">
        <v>115.685</v>
      </c>
      <c r="C16" s="24">
        <f>758.887+12.641+1.547</f>
        <v>773.0749999999999</v>
      </c>
      <c r="D16" s="24">
        <v>37.004</v>
      </c>
      <c r="E16" s="24">
        <v>8693.38</v>
      </c>
      <c r="F16" s="24">
        <f>738.539+637.365+14.315</f>
        <v>1390.219</v>
      </c>
      <c r="G16" s="24">
        <v>27.482</v>
      </c>
      <c r="H16" s="24">
        <v>3022.249</v>
      </c>
      <c r="I16" s="24">
        <v>1027.598</v>
      </c>
      <c r="J16" s="24">
        <f t="shared" si="9"/>
        <v>15086.691999999997</v>
      </c>
    </row>
    <row r="17" spans="1:10" ht="12.75">
      <c r="A17" s="11" t="s">
        <v>15</v>
      </c>
      <c r="B17" s="24">
        <v>109.733</v>
      </c>
      <c r="C17" s="24">
        <f>742.859+13.896+1.553</f>
        <v>758.308</v>
      </c>
      <c r="D17" s="24">
        <v>44.283</v>
      </c>
      <c r="E17" s="24">
        <v>8675.133</v>
      </c>
      <c r="F17" s="24">
        <f>10.257+642.064+744.234</f>
        <v>1396.5549999999998</v>
      </c>
      <c r="G17" s="24">
        <v>27.489</v>
      </c>
      <c r="H17" s="24">
        <v>3095.227</v>
      </c>
      <c r="I17" s="24">
        <v>1049.843</v>
      </c>
      <c r="J17" s="24">
        <f t="shared" si="9"/>
        <v>15156.571</v>
      </c>
    </row>
    <row r="18" spans="1:10" ht="12.75">
      <c r="A18" s="11" t="s">
        <v>16</v>
      </c>
      <c r="B18" s="24">
        <v>128.935</v>
      </c>
      <c r="C18" s="24">
        <f>681.781+15.032+1.553</f>
        <v>698.366</v>
      </c>
      <c r="D18" s="24">
        <v>39.125</v>
      </c>
      <c r="E18" s="24">
        <v>8893.17</v>
      </c>
      <c r="F18" s="24">
        <f>760.595+689.915+14.239</f>
        <v>1464.749</v>
      </c>
      <c r="G18" s="24">
        <v>27.87</v>
      </c>
      <c r="H18" s="24">
        <v>3184.365</v>
      </c>
      <c r="I18" s="24">
        <v>1092.561</v>
      </c>
      <c r="J18" s="24">
        <f t="shared" si="9"/>
        <v>15529.141</v>
      </c>
    </row>
    <row r="19" spans="1:10" ht="12.75">
      <c r="A19" s="11" t="s">
        <v>60</v>
      </c>
      <c r="B19" s="24">
        <v>101.942</v>
      </c>
      <c r="C19" s="24">
        <f>300.498+16.238+1.581</f>
        <v>318.317</v>
      </c>
      <c r="D19" s="24">
        <v>35.458</v>
      </c>
      <c r="E19" s="24">
        <v>8908.744</v>
      </c>
      <c r="F19" s="24">
        <f>12.369+748.316+668.841</f>
        <v>1429.526</v>
      </c>
      <c r="G19" s="24">
        <v>29.748</v>
      </c>
      <c r="H19" s="24">
        <v>3239.265</v>
      </c>
      <c r="I19" s="24">
        <v>1076.062</v>
      </c>
      <c r="J19" s="24">
        <f t="shared" si="9"/>
        <v>15139.062</v>
      </c>
    </row>
    <row r="20" spans="1:10" ht="12.75">
      <c r="A20" s="11" t="s">
        <v>14</v>
      </c>
      <c r="B20" s="24">
        <v>103.205</v>
      </c>
      <c r="C20" s="24">
        <f>1.563+16.493+321.363</f>
        <v>339.419</v>
      </c>
      <c r="D20" s="24">
        <v>8.417</v>
      </c>
      <c r="E20" s="24">
        <v>8929.032</v>
      </c>
      <c r="F20" s="24">
        <f>669.104+754.459+13.087</f>
        <v>1436.65</v>
      </c>
      <c r="G20" s="24">
        <v>31.496</v>
      </c>
      <c r="H20" s="24">
        <v>3328.305</v>
      </c>
      <c r="I20" s="24">
        <v>1095.832</v>
      </c>
      <c r="J20" s="24">
        <f t="shared" si="9"/>
        <v>15272.355999999998</v>
      </c>
    </row>
    <row r="21" spans="1:10" ht="12.75">
      <c r="A21" s="11" t="s">
        <v>15</v>
      </c>
      <c r="B21" s="24">
        <v>103.341</v>
      </c>
      <c r="C21" s="24">
        <f>321.507+15.824+1.56</f>
        <v>338.891</v>
      </c>
      <c r="D21" s="24">
        <v>9.867</v>
      </c>
      <c r="E21" s="24">
        <v>9090.81</v>
      </c>
      <c r="F21" s="24">
        <f>14.405+775.093+657.279</f>
        <v>1446.777</v>
      </c>
      <c r="G21" s="24">
        <v>30.947</v>
      </c>
      <c r="H21" s="24">
        <v>3428.548</v>
      </c>
      <c r="I21" s="24">
        <v>1105.656</v>
      </c>
      <c r="J21" s="24">
        <f t="shared" si="9"/>
        <v>15554.837</v>
      </c>
    </row>
    <row r="22" spans="1:10" ht="12.75">
      <c r="A22" s="11" t="s">
        <v>16</v>
      </c>
      <c r="B22" s="24">
        <v>130.252</v>
      </c>
      <c r="C22" s="24">
        <f>1.545+15.887+419.37</f>
        <v>436.802</v>
      </c>
      <c r="D22" s="24">
        <v>8.406</v>
      </c>
      <c r="E22" s="24">
        <v>9525.09</v>
      </c>
      <c r="F22" s="24">
        <f>676.32+781.867+14.334</f>
        <v>1472.521</v>
      </c>
      <c r="G22" s="24">
        <v>32.096</v>
      </c>
      <c r="H22" s="24">
        <v>3564.672</v>
      </c>
      <c r="I22" s="24">
        <v>1125.598</v>
      </c>
      <c r="J22" s="24">
        <f t="shared" si="9"/>
        <v>16295.437</v>
      </c>
    </row>
    <row r="23" spans="1:10" ht="12.75">
      <c r="A23" s="11" t="s">
        <v>62</v>
      </c>
      <c r="B23" s="24">
        <v>167.862</v>
      </c>
      <c r="C23" s="24">
        <v>409.361</v>
      </c>
      <c r="D23" s="24">
        <v>14.94</v>
      </c>
      <c r="E23" s="24">
        <v>9577.189</v>
      </c>
      <c r="F23" s="24">
        <f>15.39+663.443+773.941</f>
        <v>1452.774</v>
      </c>
      <c r="G23" s="24">
        <v>34.125</v>
      </c>
      <c r="H23" s="24">
        <v>3643.182</v>
      </c>
      <c r="I23" s="24">
        <v>1128.824</v>
      </c>
      <c r="J23" s="26">
        <f t="shared" si="9"/>
        <v>16428.257</v>
      </c>
    </row>
    <row r="24" spans="1:10" ht="12.75">
      <c r="A24" s="11" t="s">
        <v>14</v>
      </c>
      <c r="B24" s="24">
        <v>170.123</v>
      </c>
      <c r="C24" s="24">
        <v>407.181</v>
      </c>
      <c r="D24" s="24">
        <v>19.268</v>
      </c>
      <c r="E24" s="24">
        <v>9721.82</v>
      </c>
      <c r="F24" s="24">
        <f>15.495+661.549+767.035</f>
        <v>1444.079</v>
      </c>
      <c r="G24" s="24">
        <v>33.234</v>
      </c>
      <c r="H24" s="24">
        <v>3788.517</v>
      </c>
      <c r="I24" s="24">
        <v>1133.009</v>
      </c>
      <c r="J24" s="26">
        <f t="shared" si="9"/>
        <v>16717.231</v>
      </c>
    </row>
    <row r="25" spans="1:10" ht="12.75">
      <c r="A25" s="11" t="s">
        <v>15</v>
      </c>
      <c r="B25" s="24">
        <v>165.734</v>
      </c>
      <c r="C25" s="24">
        <v>392.387</v>
      </c>
      <c r="D25" s="24">
        <v>12.415</v>
      </c>
      <c r="E25" s="24">
        <v>9852.76</v>
      </c>
      <c r="F25" s="24">
        <f>16.351+655.331+781.482</f>
        <v>1453.164</v>
      </c>
      <c r="G25" s="24">
        <v>32.359</v>
      </c>
      <c r="H25" s="24">
        <v>3909.936</v>
      </c>
      <c r="I25" s="24">
        <v>1150.77</v>
      </c>
      <c r="J25" s="24">
        <f t="shared" si="9"/>
        <v>16969.525</v>
      </c>
    </row>
    <row r="26" spans="1:10" ht="12.75">
      <c r="A26" s="11" t="s">
        <v>16</v>
      </c>
      <c r="B26" s="24">
        <v>182.558</v>
      </c>
      <c r="C26" s="24">
        <v>246.831</v>
      </c>
      <c r="D26" s="24">
        <v>12.502</v>
      </c>
      <c r="E26" s="24">
        <v>10124.2</v>
      </c>
      <c r="F26" s="24">
        <f>17.698+652.61+788.429</f>
        <v>1458.737</v>
      </c>
      <c r="G26" s="24">
        <v>32.826</v>
      </c>
      <c r="H26" s="24">
        <v>4081.014</v>
      </c>
      <c r="I26" s="24">
        <v>1199.499</v>
      </c>
      <c r="J26" s="26">
        <f t="shared" si="9"/>
        <v>17338.167</v>
      </c>
    </row>
    <row r="27" spans="1:10" ht="12.75">
      <c r="A27" s="11" t="s">
        <v>65</v>
      </c>
      <c r="B27" s="24">
        <v>181.191</v>
      </c>
      <c r="C27" s="24">
        <v>273.988</v>
      </c>
      <c r="D27" s="24">
        <v>17.896</v>
      </c>
      <c r="E27" s="24">
        <v>10317.768</v>
      </c>
      <c r="F27" s="24">
        <f>630.895+770.739+18.069</f>
        <v>1419.703</v>
      </c>
      <c r="G27" s="24">
        <v>35.01</v>
      </c>
      <c r="H27" s="24">
        <v>4108.73</v>
      </c>
      <c r="I27" s="24">
        <v>1199.008</v>
      </c>
      <c r="J27" s="26">
        <f t="shared" si="9"/>
        <v>17553.294</v>
      </c>
    </row>
    <row r="28" spans="1:10" ht="12.75">
      <c r="A28" s="11" t="s">
        <v>14</v>
      </c>
      <c r="B28" s="24">
        <v>201.229</v>
      </c>
      <c r="C28" s="24">
        <v>290.903</v>
      </c>
      <c r="D28" s="24">
        <v>22.405</v>
      </c>
      <c r="E28" s="24">
        <v>10350.102</v>
      </c>
      <c r="F28" s="24">
        <f>19.275+632.691+773.284</f>
        <v>1425.25</v>
      </c>
      <c r="G28" s="24">
        <v>34.411</v>
      </c>
      <c r="H28" s="24">
        <v>4271.085</v>
      </c>
      <c r="I28" s="24">
        <v>1268.851</v>
      </c>
      <c r="J28" s="26">
        <f t="shared" si="9"/>
        <v>17864.236</v>
      </c>
    </row>
    <row r="29" spans="1:10" ht="12.75">
      <c r="A29" s="11" t="s">
        <v>15</v>
      </c>
      <c r="B29" s="24">
        <v>188.782</v>
      </c>
      <c r="C29" s="24">
        <v>262.004</v>
      </c>
      <c r="D29" s="24">
        <v>28.888</v>
      </c>
      <c r="E29" s="24">
        <v>10640.916</v>
      </c>
      <c r="F29" s="24">
        <f>776.04+626.897+16.556</f>
        <v>1419.493</v>
      </c>
      <c r="G29" s="24">
        <v>35.618</v>
      </c>
      <c r="H29" s="24">
        <v>4445.519</v>
      </c>
      <c r="I29" s="24">
        <v>1278.127</v>
      </c>
      <c r="J29" s="26">
        <f t="shared" si="9"/>
        <v>18299.347</v>
      </c>
    </row>
    <row r="30" spans="1:10" ht="12.75">
      <c r="A30" s="11" t="s">
        <v>16</v>
      </c>
      <c r="B30" s="24">
        <v>208.673</v>
      </c>
      <c r="C30" s="24">
        <v>254.234</v>
      </c>
      <c r="D30" s="24">
        <v>34.961</v>
      </c>
      <c r="E30" s="24">
        <v>10897.84</v>
      </c>
      <c r="F30" s="24">
        <f>22.177+624.891+783.412</f>
        <v>1430.48</v>
      </c>
      <c r="G30" s="24">
        <v>35.378</v>
      </c>
      <c r="H30" s="24">
        <v>4636.733</v>
      </c>
      <c r="I30" s="24">
        <v>1292.245</v>
      </c>
      <c r="J30" s="26">
        <f t="shared" si="9"/>
        <v>18790.543999999998</v>
      </c>
    </row>
    <row r="31" spans="1:10" ht="12.75">
      <c r="A31" s="11" t="s">
        <v>66</v>
      </c>
      <c r="B31" s="24">
        <v>205.194</v>
      </c>
      <c r="C31" s="24">
        <f>215.877+9.517+2.209</f>
        <v>227.603</v>
      </c>
      <c r="D31" s="24">
        <v>29.147</v>
      </c>
      <c r="E31" s="24">
        <v>11323.505</v>
      </c>
      <c r="F31" s="24">
        <f>24.452+623.027+774.923</f>
        <v>1422.402</v>
      </c>
      <c r="G31" s="24">
        <v>40.063</v>
      </c>
      <c r="H31" s="24">
        <v>4781.53</v>
      </c>
      <c r="I31" s="24">
        <v>1306.248</v>
      </c>
      <c r="J31" s="26">
        <f t="shared" si="9"/>
        <v>19335.692</v>
      </c>
    </row>
    <row r="32" spans="1:10" ht="12.75">
      <c r="A32" s="11" t="s">
        <v>14</v>
      </c>
      <c r="B32" s="24">
        <v>185.859</v>
      </c>
      <c r="C32" s="24">
        <f>225.1+9.294+2.084</f>
        <v>236.478</v>
      </c>
      <c r="D32" s="24">
        <v>30.629</v>
      </c>
      <c r="E32" s="24">
        <v>11510.009</v>
      </c>
      <c r="F32" s="24">
        <f>23.671+618.365+782.69</f>
        <v>1424.726</v>
      </c>
      <c r="G32" s="24">
        <v>44.395</v>
      </c>
      <c r="H32" s="24">
        <v>4901.455</v>
      </c>
      <c r="I32" s="24">
        <v>1322.261</v>
      </c>
      <c r="J32" s="26">
        <f t="shared" si="9"/>
        <v>19655.811999999998</v>
      </c>
    </row>
    <row r="33" spans="1:10" ht="12.75">
      <c r="A33" s="11" t="s">
        <v>15</v>
      </c>
      <c r="B33" s="24">
        <v>205.638</v>
      </c>
      <c r="C33" s="24">
        <f>251.689+7.242+2.082</f>
        <v>261.013</v>
      </c>
      <c r="D33" s="24">
        <v>29.269</v>
      </c>
      <c r="E33" s="24">
        <v>11647.104</v>
      </c>
      <c r="F33" s="24">
        <f>24.377+620.233+795.797</f>
        <v>1440.407</v>
      </c>
      <c r="G33" s="24">
        <v>42.487</v>
      </c>
      <c r="H33" s="24">
        <v>5059.8</v>
      </c>
      <c r="I33" s="24">
        <v>1339.588</v>
      </c>
      <c r="J33" s="26">
        <f t="shared" si="9"/>
        <v>20025.305999999997</v>
      </c>
    </row>
    <row r="34" spans="1:10" ht="12.75">
      <c r="A34" s="11" t="s">
        <v>16</v>
      </c>
      <c r="B34" s="24">
        <v>210.135</v>
      </c>
      <c r="C34" s="24">
        <f>245.045+13.399+1.945</f>
        <v>260.38899999999995</v>
      </c>
      <c r="D34" s="24">
        <v>30.249</v>
      </c>
      <c r="E34" s="24">
        <v>12410.802</v>
      </c>
      <c r="F34" s="24">
        <f>25.312+653.16+820.135</f>
        <v>1498.607</v>
      </c>
      <c r="G34" s="24">
        <v>46.738</v>
      </c>
      <c r="H34" s="24">
        <v>5214.465</v>
      </c>
      <c r="I34" s="24">
        <v>1381.888</v>
      </c>
      <c r="J34" s="26">
        <f t="shared" si="9"/>
        <v>21053.272999999997</v>
      </c>
    </row>
    <row r="35" spans="1:10" ht="12.75">
      <c r="A35" s="11" t="s">
        <v>67</v>
      </c>
      <c r="B35" s="24">
        <v>208.601</v>
      </c>
      <c r="C35" s="24">
        <f>263.077+16.818+1.929</f>
        <v>281.82399999999996</v>
      </c>
      <c r="D35" s="24">
        <v>27.207</v>
      </c>
      <c r="E35" s="24">
        <v>12455.144</v>
      </c>
      <c r="F35" s="24">
        <f>20.758+639.253+788.128</f>
        <v>1448.1390000000001</v>
      </c>
      <c r="G35" s="24">
        <v>48.987</v>
      </c>
      <c r="H35" s="24">
        <v>5134.619</v>
      </c>
      <c r="I35" s="24">
        <v>1347.389</v>
      </c>
      <c r="J35" s="26">
        <f t="shared" si="9"/>
        <v>20951.91</v>
      </c>
    </row>
    <row r="36" spans="1:10" ht="12.75">
      <c r="A36" s="11" t="s">
        <v>14</v>
      </c>
      <c r="B36" s="24">
        <v>186.262</v>
      </c>
      <c r="C36" s="24">
        <f>250.3+12.644+0.15</f>
        <v>263.094</v>
      </c>
      <c r="D36" s="24">
        <v>26.356</v>
      </c>
      <c r="E36" s="24">
        <v>12738.91</v>
      </c>
      <c r="F36" s="24">
        <f>22.232+638.858+787.955</f>
        <v>1449.045</v>
      </c>
      <c r="G36" s="24">
        <v>49.201</v>
      </c>
      <c r="H36" s="24">
        <v>5224.148</v>
      </c>
      <c r="I36" s="24">
        <v>1367.985</v>
      </c>
      <c r="J36" s="26">
        <f t="shared" si="9"/>
        <v>21305.001</v>
      </c>
    </row>
    <row r="37" spans="1:10" ht="12.75">
      <c r="A37" s="11" t="s">
        <v>15</v>
      </c>
      <c r="B37" s="24">
        <v>156.913</v>
      </c>
      <c r="C37" s="24">
        <f>225.689+15.749+0.05</f>
        <v>241.488</v>
      </c>
      <c r="D37" s="24">
        <v>30.519</v>
      </c>
      <c r="E37" s="24">
        <v>13145.72</v>
      </c>
      <c r="F37" s="24">
        <f>24.123+647.184+806.836</f>
        <v>1478.143</v>
      </c>
      <c r="G37" s="24">
        <v>50.872</v>
      </c>
      <c r="H37" s="24">
        <v>5390.007</v>
      </c>
      <c r="I37" s="24">
        <v>1383.671</v>
      </c>
      <c r="J37" s="26">
        <f t="shared" si="9"/>
        <v>21877.332999999995</v>
      </c>
    </row>
    <row r="38" spans="1:10" ht="12.75">
      <c r="A38" s="11" t="s">
        <v>16</v>
      </c>
      <c r="B38" s="24">
        <v>191.718</v>
      </c>
      <c r="C38" s="24">
        <f>252.155+9.355+0.001</f>
        <v>261.51099999999997</v>
      </c>
      <c r="D38" s="24">
        <v>37.873</v>
      </c>
      <c r="E38" s="24">
        <v>13698.634</v>
      </c>
      <c r="F38" s="24">
        <f>29.62+660.605+818.366</f>
        <v>1508.591</v>
      </c>
      <c r="G38" s="24">
        <v>49.348</v>
      </c>
      <c r="H38" s="24">
        <v>5671.326</v>
      </c>
      <c r="I38" s="24">
        <v>1291.442</v>
      </c>
      <c r="J38" s="26">
        <f t="shared" si="9"/>
        <v>22710.443</v>
      </c>
    </row>
    <row r="39" spans="1:10" ht="12.75">
      <c r="A39" s="11" t="s">
        <v>70</v>
      </c>
      <c r="B39" s="24">
        <v>226.484</v>
      </c>
      <c r="C39" s="24">
        <f>249.768+10.69+0.136</f>
        <v>260.59400000000005</v>
      </c>
      <c r="D39" s="24">
        <v>29.071</v>
      </c>
      <c r="E39" s="24">
        <v>14145.589</v>
      </c>
      <c r="F39" s="24">
        <f>27.819+647.317+815.699</f>
        <v>1490.835</v>
      </c>
      <c r="G39" s="24">
        <v>51.842</v>
      </c>
      <c r="H39" s="24">
        <v>5555.785</v>
      </c>
      <c r="I39" s="24">
        <v>1405.381</v>
      </c>
      <c r="J39" s="26">
        <f t="shared" si="9"/>
        <v>23165.581000000002</v>
      </c>
    </row>
    <row r="40" spans="1:10" ht="12.75">
      <c r="A40" s="11" t="s">
        <v>14</v>
      </c>
      <c r="B40" s="24">
        <v>153.134</v>
      </c>
      <c r="C40" s="24">
        <f>197.987+8.992+0.013</f>
        <v>206.992</v>
      </c>
      <c r="D40" s="24">
        <v>25.234</v>
      </c>
      <c r="E40" s="24">
        <v>14379.846</v>
      </c>
      <c r="F40" s="24">
        <f>22.79+636.087+817.082</f>
        <v>1475.9589999999998</v>
      </c>
      <c r="G40" s="24">
        <v>60.037</v>
      </c>
      <c r="H40" s="24">
        <v>5685.495</v>
      </c>
      <c r="I40" s="24">
        <v>1266.571</v>
      </c>
      <c r="J40" s="26">
        <f t="shared" si="9"/>
        <v>23253.268</v>
      </c>
    </row>
    <row r="41" spans="1:10" ht="12.75">
      <c r="A41" s="11" t="s">
        <v>15</v>
      </c>
      <c r="B41" s="24">
        <v>149.802</v>
      </c>
      <c r="C41" s="24">
        <f>205.249+12.228+0.001</f>
        <v>217.478</v>
      </c>
      <c r="D41" s="24">
        <v>19.368</v>
      </c>
      <c r="E41" s="24">
        <v>14605.84</v>
      </c>
      <c r="F41" s="24">
        <f>21.57+630.247+814.305</f>
        <v>1466.1219999999998</v>
      </c>
      <c r="G41" s="24">
        <v>63.238</v>
      </c>
      <c r="H41" s="24">
        <v>5601.997</v>
      </c>
      <c r="I41" s="24">
        <v>1404</v>
      </c>
      <c r="J41" s="26">
        <f t="shared" si="9"/>
        <v>23527.845</v>
      </c>
    </row>
    <row r="42" spans="1:10" ht="12.75">
      <c r="A42" s="11" t="s">
        <v>16</v>
      </c>
      <c r="B42" s="24">
        <v>174.949</v>
      </c>
      <c r="C42" s="24">
        <f>206.862+10.972+0.015+0.004</f>
        <v>217.85299999999998</v>
      </c>
      <c r="D42" s="24">
        <v>24.805</v>
      </c>
      <c r="E42" s="24">
        <v>14846.269</v>
      </c>
      <c r="F42" s="24">
        <f>24.208+640.009+814.237</f>
        <v>1478.454</v>
      </c>
      <c r="G42" s="24">
        <v>65.137</v>
      </c>
      <c r="H42" s="24">
        <v>5563.596</v>
      </c>
      <c r="I42" s="24">
        <v>1400.592</v>
      </c>
      <c r="J42" s="26">
        <f t="shared" si="9"/>
        <v>23771.655000000002</v>
      </c>
    </row>
    <row r="43" spans="1:10" ht="12.75">
      <c r="A43" s="11" t="s">
        <v>72</v>
      </c>
      <c r="B43" s="24">
        <v>169.878</v>
      </c>
      <c r="C43" s="24">
        <v>240.359</v>
      </c>
      <c r="D43" s="24">
        <v>28.704</v>
      </c>
      <c r="E43" s="24">
        <v>14886.74</v>
      </c>
      <c r="F43" s="24">
        <f>17.984+610.73+805.232</f>
        <v>1433.946</v>
      </c>
      <c r="G43" s="24">
        <v>66.016</v>
      </c>
      <c r="H43" s="24">
        <v>5428.086</v>
      </c>
      <c r="I43" s="24">
        <v>1386.009</v>
      </c>
      <c r="J43" s="26">
        <f t="shared" si="9"/>
        <v>23639.737999999998</v>
      </c>
    </row>
    <row r="44" spans="1:10" ht="12.75">
      <c r="A44" s="11" t="s">
        <v>14</v>
      </c>
      <c r="B44" s="24">
        <v>171.138</v>
      </c>
      <c r="C44" s="24">
        <v>198.425</v>
      </c>
      <c r="D44" s="24">
        <v>29.187</v>
      </c>
      <c r="E44" s="24">
        <v>14751.836</v>
      </c>
      <c r="F44" s="24">
        <f>18.5+591.639+797.736</f>
        <v>1407.875</v>
      </c>
      <c r="G44" s="24">
        <v>65.621</v>
      </c>
      <c r="H44" s="24">
        <v>5576.798</v>
      </c>
      <c r="I44" s="24">
        <v>1378.994</v>
      </c>
      <c r="J44" s="26">
        <f t="shared" si="9"/>
        <v>23579.873999999996</v>
      </c>
    </row>
    <row r="45" spans="1:10" ht="12.75">
      <c r="A45" s="11" t="s">
        <v>15</v>
      </c>
      <c r="B45" s="24">
        <v>211.608</v>
      </c>
      <c r="C45" s="24">
        <v>197.421</v>
      </c>
      <c r="D45" s="24">
        <v>30.863</v>
      </c>
      <c r="E45" s="24">
        <v>14705.706</v>
      </c>
      <c r="F45" s="24">
        <f>11.644+593.115+784.119</f>
        <v>1388.8780000000002</v>
      </c>
      <c r="G45" s="24">
        <v>64.956</v>
      </c>
      <c r="H45" s="24">
        <v>5540.851</v>
      </c>
      <c r="I45" s="24">
        <v>1328.214</v>
      </c>
      <c r="J45" s="26">
        <f t="shared" si="9"/>
        <v>23468.496999999996</v>
      </c>
    </row>
    <row r="46" spans="1:10" ht="12.75">
      <c r="A46" s="11" t="s">
        <v>16</v>
      </c>
      <c r="B46" s="24">
        <v>203.072</v>
      </c>
      <c r="C46" s="24">
        <v>228.089</v>
      </c>
      <c r="D46" s="24">
        <v>38.748</v>
      </c>
      <c r="E46" s="24">
        <v>14401.535</v>
      </c>
      <c r="F46" s="24">
        <f>22.861+584.504+771.056</f>
        <v>1378.421</v>
      </c>
      <c r="G46" s="24">
        <v>63.493</v>
      </c>
      <c r="H46" s="24">
        <v>5695.19</v>
      </c>
      <c r="I46" s="24">
        <v>1359.765</v>
      </c>
      <c r="J46" s="26">
        <f t="shared" si="9"/>
        <v>23368.313</v>
      </c>
    </row>
    <row r="47" spans="1:10" ht="12.75">
      <c r="A47" s="11" t="s">
        <v>75</v>
      </c>
      <c r="B47" s="24">
        <v>191.362</v>
      </c>
      <c r="C47" s="24">
        <v>209.679</v>
      </c>
      <c r="D47" s="24">
        <v>33.377</v>
      </c>
      <c r="E47" s="24">
        <v>14417.263</v>
      </c>
      <c r="F47" s="24">
        <f>22.858+573.113+766.151</f>
        <v>1362.1219999999998</v>
      </c>
      <c r="G47" s="24">
        <v>69.575</v>
      </c>
      <c r="H47" s="24">
        <v>5838.572</v>
      </c>
      <c r="I47" s="24">
        <v>1363.102</v>
      </c>
      <c r="J47" s="26">
        <f t="shared" si="9"/>
        <v>23485.052</v>
      </c>
    </row>
    <row r="48" spans="1:10" ht="12.75">
      <c r="A48" s="11" t="s">
        <v>14</v>
      </c>
      <c r="B48" s="24">
        <v>233.074</v>
      </c>
      <c r="C48" s="24">
        <v>217.936</v>
      </c>
      <c r="D48" s="24">
        <v>40.735</v>
      </c>
      <c r="E48" s="24">
        <v>14515.043</v>
      </c>
      <c r="F48" s="24">
        <f>779.908+574.35+20.759</f>
        <v>1375.017</v>
      </c>
      <c r="G48" s="24">
        <v>71.123</v>
      </c>
      <c r="H48" s="24">
        <v>6765.124</v>
      </c>
      <c r="I48" s="24">
        <v>1464.332</v>
      </c>
      <c r="J48" s="26">
        <f t="shared" si="9"/>
        <v>24682.384</v>
      </c>
    </row>
    <row r="49" spans="1:10" ht="12.75">
      <c r="A49" s="11" t="s">
        <v>15</v>
      </c>
      <c r="B49" s="24">
        <v>248.055</v>
      </c>
      <c r="C49" s="24">
        <v>202.384</v>
      </c>
      <c r="D49" s="24">
        <v>36.661</v>
      </c>
      <c r="E49" s="24">
        <v>14715.576</v>
      </c>
      <c r="F49" s="24">
        <f>8.371+593.733+796.123</f>
        <v>1398.2269999999999</v>
      </c>
      <c r="G49" s="24">
        <v>75.352</v>
      </c>
      <c r="H49" s="24">
        <v>6830.171</v>
      </c>
      <c r="I49" s="24">
        <v>1495.75</v>
      </c>
      <c r="J49" s="26">
        <f t="shared" si="9"/>
        <v>25002.176</v>
      </c>
    </row>
    <row r="50" spans="1:10" ht="12.75">
      <c r="A50" s="11" t="s">
        <v>16</v>
      </c>
      <c r="B50" s="24">
        <v>239.068</v>
      </c>
      <c r="C50" s="24">
        <v>165.584</v>
      </c>
      <c r="D50" s="24">
        <v>37.072</v>
      </c>
      <c r="E50" s="24">
        <v>14608.092</v>
      </c>
      <c r="F50" s="24">
        <f>588.4+801.235+10.712</f>
        <v>1400.347</v>
      </c>
      <c r="G50" s="24">
        <v>76.822</v>
      </c>
      <c r="H50" s="24">
        <v>6940.712</v>
      </c>
      <c r="I50" s="24">
        <v>1520.647</v>
      </c>
      <c r="J50" s="26">
        <f t="shared" si="9"/>
        <v>24988.344</v>
      </c>
    </row>
    <row r="51" ht="12.75">
      <c r="J51" s="24"/>
    </row>
    <row r="52" spans="1:10" ht="12.75">
      <c r="A52" s="15" t="s">
        <v>17</v>
      </c>
      <c r="J52" s="2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3.00390625" style="0" customWidth="1"/>
    <col min="2" max="2" width="15.7109375" style="0" customWidth="1"/>
    <col min="3" max="3" width="14.8515625" style="0" customWidth="1"/>
    <col min="4" max="4" width="16.57421875" style="0" customWidth="1"/>
    <col min="6" max="6" width="12.140625" style="0" customWidth="1"/>
    <col min="8" max="8" width="15.00390625" style="0" customWidth="1"/>
    <col min="9" max="9" width="14.140625" style="0" customWidth="1"/>
  </cols>
  <sheetData>
    <row r="1" spans="1:10" ht="13.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9" t="s">
        <v>18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40.5">
      <c r="A4" s="1" t="s">
        <v>2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</row>
    <row r="5" spans="1:10" ht="12.75">
      <c r="A5" s="5" t="s">
        <v>28</v>
      </c>
      <c r="B5" s="6">
        <f>SUM(B10:B12)/3</f>
        <v>253</v>
      </c>
      <c r="C5" s="6">
        <f aca="true" t="shared" si="0" ref="C5:I5">SUM(C10:C12)/3</f>
        <v>527.3333333333334</v>
      </c>
      <c r="D5" s="6">
        <f t="shared" si="0"/>
        <v>23.666666666666668</v>
      </c>
      <c r="E5" s="6">
        <f t="shared" si="0"/>
        <v>11996.333333333334</v>
      </c>
      <c r="F5" s="6">
        <f t="shared" si="0"/>
        <v>2279</v>
      </c>
      <c r="G5" s="6">
        <f t="shared" si="0"/>
        <v>28</v>
      </c>
      <c r="H5" s="6">
        <f t="shared" si="0"/>
        <v>3015.6666666666665</v>
      </c>
      <c r="I5" s="6">
        <f t="shared" si="0"/>
        <v>1433.6666666666667</v>
      </c>
      <c r="J5" s="6">
        <f>SUM(B5:I5)</f>
        <v>19556.666666666668</v>
      </c>
    </row>
    <row r="6" spans="1:10" ht="12.75">
      <c r="A6" s="5" t="s">
        <v>29</v>
      </c>
      <c r="B6" s="6">
        <f aca="true" t="shared" si="1" ref="B6:I6">SUM(B13:B16)/4</f>
        <v>267.25</v>
      </c>
      <c r="C6" s="6">
        <f t="shared" si="1"/>
        <v>614</v>
      </c>
      <c r="D6" s="6">
        <f t="shared" si="1"/>
        <v>18.5</v>
      </c>
      <c r="E6" s="6">
        <f t="shared" si="1"/>
        <v>13036</v>
      </c>
      <c r="F6" s="6">
        <f t="shared" si="1"/>
        <v>2435.5</v>
      </c>
      <c r="G6" s="6">
        <f t="shared" si="1"/>
        <v>41.75</v>
      </c>
      <c r="H6" s="6">
        <f t="shared" si="1"/>
        <v>3849.75</v>
      </c>
      <c r="I6" s="6">
        <f t="shared" si="1"/>
        <v>1580.75</v>
      </c>
      <c r="J6" s="6">
        <f>SUM(B6:I6)</f>
        <v>21843.5</v>
      </c>
    </row>
    <row r="7" spans="1:10" ht="12.75">
      <c r="A7" s="5" t="s">
        <v>30</v>
      </c>
      <c r="B7" s="6">
        <f>SUM(B17:B20)/4</f>
        <v>273</v>
      </c>
      <c r="C7" s="6">
        <f aca="true" t="shared" si="2" ref="C7:J7">SUM(C17:C20)/4</f>
        <v>604.25</v>
      </c>
      <c r="D7" s="6">
        <f t="shared" si="2"/>
        <v>50.5</v>
      </c>
      <c r="E7" s="6">
        <f t="shared" si="2"/>
        <v>14456.75</v>
      </c>
      <c r="F7" s="6">
        <f t="shared" si="2"/>
        <v>2615.75</v>
      </c>
      <c r="G7" s="6">
        <f t="shared" si="2"/>
        <v>50.5</v>
      </c>
      <c r="H7" s="6">
        <f t="shared" si="2"/>
        <v>4756</v>
      </c>
      <c r="I7" s="6">
        <f t="shared" si="2"/>
        <v>1793.5</v>
      </c>
      <c r="J7" s="6">
        <f t="shared" si="2"/>
        <v>24600.25</v>
      </c>
    </row>
    <row r="8" spans="1:10" ht="12.75">
      <c r="A8" s="5" t="s">
        <v>31</v>
      </c>
      <c r="B8" s="6">
        <f>SUM(B21:B24)/4</f>
        <v>243.5</v>
      </c>
      <c r="C8" s="6">
        <f aca="true" t="shared" si="3" ref="C8:J8">SUM(C21:C24)/4</f>
        <v>735.25</v>
      </c>
      <c r="D8" s="6">
        <f t="shared" si="3"/>
        <v>86.25</v>
      </c>
      <c r="E8" s="6">
        <f t="shared" si="3"/>
        <v>15846.75</v>
      </c>
      <c r="F8" s="6">
        <f t="shared" si="3"/>
        <v>2729</v>
      </c>
      <c r="G8" s="6">
        <f t="shared" si="3"/>
        <v>48.25</v>
      </c>
      <c r="H8" s="6">
        <f t="shared" si="3"/>
        <v>5404.5</v>
      </c>
      <c r="I8" s="6">
        <f t="shared" si="3"/>
        <v>1927.25</v>
      </c>
      <c r="J8" s="6">
        <f t="shared" si="3"/>
        <v>27020.75</v>
      </c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>
      <c r="A10" s="11" t="s">
        <v>32</v>
      </c>
      <c r="B10" s="12">
        <v>238</v>
      </c>
      <c r="C10" s="12">
        <v>576</v>
      </c>
      <c r="D10" s="12">
        <v>23</v>
      </c>
      <c r="E10" s="12">
        <v>11767</v>
      </c>
      <c r="F10" s="12">
        <v>2229</v>
      </c>
      <c r="G10" s="12">
        <v>29</v>
      </c>
      <c r="H10" s="12">
        <v>2870</v>
      </c>
      <c r="I10" s="12">
        <v>1410</v>
      </c>
      <c r="J10" s="12">
        <f>SUM(B10:I10)</f>
        <v>19142</v>
      </c>
    </row>
    <row r="11" spans="1:10" ht="12.75">
      <c r="A11" s="11" t="s">
        <v>15</v>
      </c>
      <c r="B11" s="12">
        <v>265</v>
      </c>
      <c r="C11" s="12">
        <v>564</v>
      </c>
      <c r="D11" s="12">
        <v>23</v>
      </c>
      <c r="E11" s="12">
        <v>11743</v>
      </c>
      <c r="F11" s="12">
        <v>2264</v>
      </c>
      <c r="G11" s="12">
        <v>27</v>
      </c>
      <c r="H11" s="12">
        <v>2999</v>
      </c>
      <c r="I11" s="12">
        <v>1424</v>
      </c>
      <c r="J11" s="12">
        <f aca="true" t="shared" si="4" ref="J11:J24">SUM(B11:I11)</f>
        <v>19309</v>
      </c>
    </row>
    <row r="12" spans="1:10" ht="12.75">
      <c r="A12" s="11" t="s">
        <v>16</v>
      </c>
      <c r="B12" s="12">
        <v>256</v>
      </c>
      <c r="C12" s="12">
        <v>442</v>
      </c>
      <c r="D12" s="12">
        <v>25</v>
      </c>
      <c r="E12" s="12">
        <v>12479</v>
      </c>
      <c r="F12" s="12">
        <v>2344</v>
      </c>
      <c r="G12" s="12">
        <v>28</v>
      </c>
      <c r="H12" s="12">
        <v>3178</v>
      </c>
      <c r="I12" s="12">
        <v>1467</v>
      </c>
      <c r="J12" s="12">
        <f t="shared" si="4"/>
        <v>20219</v>
      </c>
    </row>
    <row r="13" spans="1:10" ht="12.75">
      <c r="A13" s="11" t="s">
        <v>33</v>
      </c>
      <c r="B13" s="12">
        <v>245</v>
      </c>
      <c r="C13" s="12">
        <v>453</v>
      </c>
      <c r="D13" s="12">
        <v>25</v>
      </c>
      <c r="E13" s="12">
        <v>12658</v>
      </c>
      <c r="F13" s="12">
        <v>2363</v>
      </c>
      <c r="G13" s="12">
        <v>29</v>
      </c>
      <c r="H13" s="12">
        <v>3438</v>
      </c>
      <c r="I13" s="12">
        <v>1497</v>
      </c>
      <c r="J13" s="12">
        <f t="shared" si="4"/>
        <v>20708</v>
      </c>
    </row>
    <row r="14" spans="1:10" ht="12.75">
      <c r="A14" s="11" t="s">
        <v>14</v>
      </c>
      <c r="B14" s="12">
        <v>258</v>
      </c>
      <c r="C14" s="12">
        <v>653</v>
      </c>
      <c r="D14" s="12">
        <v>18</v>
      </c>
      <c r="E14" s="12">
        <v>12848</v>
      </c>
      <c r="F14" s="12">
        <v>2384</v>
      </c>
      <c r="G14" s="12">
        <v>45</v>
      </c>
      <c r="H14" s="12">
        <v>3769</v>
      </c>
      <c r="I14" s="12">
        <v>1550</v>
      </c>
      <c r="J14" s="12">
        <f t="shared" si="4"/>
        <v>21525</v>
      </c>
    </row>
    <row r="15" spans="1:10" ht="12.75">
      <c r="A15" s="11" t="s">
        <v>15</v>
      </c>
      <c r="B15" s="11">
        <v>281</v>
      </c>
      <c r="C15" s="11">
        <f>655+7</f>
        <v>662</v>
      </c>
      <c r="D15" s="11">
        <v>15</v>
      </c>
      <c r="E15" s="12">
        <v>13101</v>
      </c>
      <c r="F15" s="12">
        <f>31+1160+1243</f>
        <v>2434</v>
      </c>
      <c r="G15" s="12">
        <v>44</v>
      </c>
      <c r="H15" s="12">
        <v>3962</v>
      </c>
      <c r="I15" s="12">
        <v>1605</v>
      </c>
      <c r="J15" s="12">
        <f t="shared" si="4"/>
        <v>22104</v>
      </c>
    </row>
    <row r="16" spans="1:10" ht="12.75">
      <c r="A16" s="11" t="s">
        <v>16</v>
      </c>
      <c r="B16" s="11">
        <v>285</v>
      </c>
      <c r="C16" s="11">
        <f>679+9</f>
        <v>688</v>
      </c>
      <c r="D16" s="11">
        <v>16</v>
      </c>
      <c r="E16" s="12">
        <v>13537</v>
      </c>
      <c r="F16" s="12">
        <f>33+1229+1299</f>
        <v>2561</v>
      </c>
      <c r="G16" s="12">
        <v>49</v>
      </c>
      <c r="H16" s="12">
        <v>4230</v>
      </c>
      <c r="I16" s="12">
        <v>1671</v>
      </c>
      <c r="J16" s="12">
        <f t="shared" si="4"/>
        <v>23037</v>
      </c>
    </row>
    <row r="17" spans="1:10" ht="12.75">
      <c r="A17" s="11" t="s">
        <v>34</v>
      </c>
      <c r="B17" s="11">
        <v>284</v>
      </c>
      <c r="C17" s="11">
        <f>616+13</f>
        <v>629</v>
      </c>
      <c r="D17" s="11">
        <v>28</v>
      </c>
      <c r="E17" s="12">
        <v>13867</v>
      </c>
      <c r="F17" s="12">
        <f>31+1232+1308</f>
        <v>2571</v>
      </c>
      <c r="G17" s="12">
        <v>51</v>
      </c>
      <c r="H17" s="12">
        <v>4566</v>
      </c>
      <c r="I17" s="12">
        <v>1732</v>
      </c>
      <c r="J17" s="12">
        <f t="shared" si="4"/>
        <v>23728</v>
      </c>
    </row>
    <row r="18" spans="1:10" ht="12.75">
      <c r="A18" s="11" t="s">
        <v>14</v>
      </c>
      <c r="B18" s="11">
        <v>249</v>
      </c>
      <c r="C18" s="11">
        <f>583+15</f>
        <v>598</v>
      </c>
      <c r="D18" s="11">
        <v>30</v>
      </c>
      <c r="E18" s="12">
        <v>14323</v>
      </c>
      <c r="F18" s="12">
        <f>35+1241+1305</f>
        <v>2581</v>
      </c>
      <c r="G18" s="12">
        <v>51</v>
      </c>
      <c r="H18" s="12">
        <v>4680</v>
      </c>
      <c r="I18" s="12">
        <v>1752</v>
      </c>
      <c r="J18" s="12">
        <f t="shared" si="4"/>
        <v>24264</v>
      </c>
    </row>
    <row r="19" spans="1:10" ht="12.75">
      <c r="A19" s="11" t="s">
        <v>15</v>
      </c>
      <c r="B19" s="12">
        <v>280</v>
      </c>
      <c r="C19" s="12">
        <v>605</v>
      </c>
      <c r="D19" s="12">
        <v>75</v>
      </c>
      <c r="E19" s="12">
        <v>14465</v>
      </c>
      <c r="F19" s="12">
        <v>2599</v>
      </c>
      <c r="G19" s="12">
        <v>51</v>
      </c>
      <c r="H19" s="12">
        <v>4743</v>
      </c>
      <c r="I19" s="12">
        <v>1809</v>
      </c>
      <c r="J19" s="12">
        <f t="shared" si="4"/>
        <v>24627</v>
      </c>
    </row>
    <row r="20" spans="1:10" ht="12.75">
      <c r="A20" s="11" t="s">
        <v>16</v>
      </c>
      <c r="B20" s="12">
        <v>279</v>
      </c>
      <c r="C20" s="12">
        <v>585</v>
      </c>
      <c r="D20" s="12">
        <v>69</v>
      </c>
      <c r="E20" s="12">
        <v>15172</v>
      </c>
      <c r="F20" s="12">
        <v>2712</v>
      </c>
      <c r="G20" s="12">
        <v>49</v>
      </c>
      <c r="H20" s="12">
        <v>5035</v>
      </c>
      <c r="I20" s="12">
        <v>1881</v>
      </c>
      <c r="J20" s="12">
        <f t="shared" si="4"/>
        <v>25782</v>
      </c>
    </row>
    <row r="21" spans="1:10" ht="12.75">
      <c r="A21" s="11" t="s">
        <v>35</v>
      </c>
      <c r="B21" s="12">
        <v>257</v>
      </c>
      <c r="C21" s="12">
        <v>584</v>
      </c>
      <c r="D21" s="12">
        <v>80</v>
      </c>
      <c r="E21" s="12">
        <v>15339</v>
      </c>
      <c r="F21" s="12">
        <v>2669</v>
      </c>
      <c r="G21" s="12">
        <v>48</v>
      </c>
      <c r="H21" s="12">
        <v>5203</v>
      </c>
      <c r="I21" s="12">
        <v>1872</v>
      </c>
      <c r="J21" s="12">
        <f t="shared" si="4"/>
        <v>26052</v>
      </c>
    </row>
    <row r="22" spans="1:10" ht="12.75">
      <c r="A22" s="11" t="s">
        <v>14</v>
      </c>
      <c r="B22" s="12">
        <v>239</v>
      </c>
      <c r="C22" s="12">
        <v>767</v>
      </c>
      <c r="D22" s="12">
        <v>94</v>
      </c>
      <c r="E22" s="12">
        <v>15895</v>
      </c>
      <c r="F22" s="12">
        <v>2701</v>
      </c>
      <c r="G22" s="12">
        <v>48</v>
      </c>
      <c r="H22" s="12">
        <v>5369</v>
      </c>
      <c r="I22" s="12">
        <v>1916</v>
      </c>
      <c r="J22" s="12">
        <f t="shared" si="4"/>
        <v>27029</v>
      </c>
    </row>
    <row r="23" spans="1:10" ht="12.75">
      <c r="A23" s="11" t="s">
        <v>15</v>
      </c>
      <c r="B23" s="12">
        <v>236</v>
      </c>
      <c r="C23" s="12">
        <v>785</v>
      </c>
      <c r="D23" s="12">
        <v>72</v>
      </c>
      <c r="E23" s="12">
        <v>15644</v>
      </c>
      <c r="F23" s="12">
        <v>2710</v>
      </c>
      <c r="G23" s="12">
        <v>48</v>
      </c>
      <c r="H23" s="12">
        <v>5526</v>
      </c>
      <c r="I23" s="12">
        <v>1944</v>
      </c>
      <c r="J23" s="12">
        <f t="shared" si="4"/>
        <v>26965</v>
      </c>
    </row>
    <row r="24" spans="1:10" ht="12.75">
      <c r="A24" s="11" t="s">
        <v>16</v>
      </c>
      <c r="B24" s="12">
        <v>242</v>
      </c>
      <c r="C24" s="12">
        <v>805</v>
      </c>
      <c r="D24" s="12">
        <v>99</v>
      </c>
      <c r="E24" s="12">
        <v>16509</v>
      </c>
      <c r="F24" s="12">
        <v>2836</v>
      </c>
      <c r="G24" s="12">
        <v>49</v>
      </c>
      <c r="H24" s="12">
        <v>5520</v>
      </c>
      <c r="I24" s="12">
        <v>1977</v>
      </c>
      <c r="J24" s="12">
        <f t="shared" si="4"/>
        <v>28037</v>
      </c>
    </row>
    <row r="26" ht="12.75">
      <c r="A26" s="15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="75" zoomScaleNormal="75" zoomScalePageLayoutView="0" workbookViewId="0" topLeftCell="A1">
      <selection activeCell="A43" sqref="A43"/>
    </sheetView>
  </sheetViews>
  <sheetFormatPr defaultColWidth="9.140625" defaultRowHeight="12.75"/>
  <cols>
    <col min="1" max="1" width="12.7109375" style="11" customWidth="1"/>
    <col min="2" max="2" width="16.00390625" style="11" customWidth="1"/>
    <col min="3" max="3" width="15.00390625" style="11" customWidth="1"/>
    <col min="4" max="4" width="15.57421875" style="11" customWidth="1"/>
    <col min="5" max="5" width="8.57421875" style="11" customWidth="1"/>
    <col min="6" max="6" width="13.00390625" style="11" customWidth="1"/>
    <col min="7" max="7" width="10.421875" style="11" customWidth="1"/>
    <col min="8" max="8" width="13.8515625" style="11" customWidth="1"/>
    <col min="9" max="9" width="12.8515625" style="11" customWidth="1"/>
    <col min="10" max="10" width="13.28125" style="11" customWidth="1"/>
    <col min="11" max="16384" width="9.140625" style="11" customWidth="1"/>
  </cols>
  <sheetData>
    <row r="1" spans="1:10" ht="17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3.5">
      <c r="A2" s="19" t="s">
        <v>18</v>
      </c>
      <c r="B2" s="20"/>
      <c r="C2" s="20"/>
      <c r="D2" s="20"/>
      <c r="E2" s="20"/>
      <c r="F2" s="20"/>
      <c r="G2" s="20"/>
      <c r="H2" s="20"/>
      <c r="I2" s="20"/>
      <c r="J2" s="21"/>
    </row>
    <row r="4" spans="1:10" s="2" customFormat="1" ht="40.5">
      <c r="A4" s="1" t="s">
        <v>2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</row>
    <row r="5" spans="1:10" s="2" customFormat="1" ht="9.75">
      <c r="A5" s="3" t="s">
        <v>36</v>
      </c>
      <c r="B5" s="4">
        <f aca="true" t="shared" si="0" ref="B5:J5">SUM(B13:B16)/4</f>
        <v>160</v>
      </c>
      <c r="C5" s="4">
        <f t="shared" si="0"/>
        <v>886.75</v>
      </c>
      <c r="D5" s="4">
        <f t="shared" si="0"/>
        <v>19.5</v>
      </c>
      <c r="E5" s="4">
        <f t="shared" si="0"/>
        <v>4968</v>
      </c>
      <c r="F5" s="4">
        <f t="shared" si="0"/>
        <v>113.75</v>
      </c>
      <c r="G5" s="4">
        <f t="shared" si="0"/>
        <v>23</v>
      </c>
      <c r="H5" s="4">
        <f t="shared" si="0"/>
        <v>1137.75</v>
      </c>
      <c r="I5" s="4">
        <f t="shared" si="0"/>
        <v>1994</v>
      </c>
      <c r="J5" s="4">
        <f t="shared" si="0"/>
        <v>9302.75</v>
      </c>
    </row>
    <row r="6" spans="1:10" s="2" customFormat="1" ht="9.75">
      <c r="A6" s="5" t="s">
        <v>37</v>
      </c>
      <c r="B6" s="6">
        <f aca="true" t="shared" si="1" ref="B6:J6">SUM(B17:B20)/4</f>
        <v>304.25</v>
      </c>
      <c r="C6" s="6">
        <f t="shared" si="1"/>
        <v>1161.25</v>
      </c>
      <c r="D6" s="6">
        <f t="shared" si="1"/>
        <v>25</v>
      </c>
      <c r="E6" s="6">
        <f t="shared" si="1"/>
        <v>5802.25</v>
      </c>
      <c r="F6" s="6">
        <f t="shared" si="1"/>
        <v>117.5</v>
      </c>
      <c r="G6" s="6">
        <f t="shared" si="1"/>
        <v>28</v>
      </c>
      <c r="H6" s="6">
        <f t="shared" si="1"/>
        <v>1337</v>
      </c>
      <c r="I6" s="6">
        <f t="shared" si="1"/>
        <v>2174.5</v>
      </c>
      <c r="J6" s="6">
        <f t="shared" si="1"/>
        <v>10949.75</v>
      </c>
    </row>
    <row r="7" spans="1:10" s="2" customFormat="1" ht="9.75">
      <c r="A7" s="5" t="s">
        <v>38</v>
      </c>
      <c r="B7" s="6">
        <f aca="true" t="shared" si="2" ref="B7:J7">SUM(B21:B24)/4</f>
        <v>154.75</v>
      </c>
      <c r="C7" s="6">
        <f t="shared" si="2"/>
        <v>1227</v>
      </c>
      <c r="D7" s="6">
        <f t="shared" si="2"/>
        <v>24</v>
      </c>
      <c r="E7" s="6">
        <f t="shared" si="2"/>
        <v>6278</v>
      </c>
      <c r="F7" s="6">
        <f t="shared" si="2"/>
        <v>112</v>
      </c>
      <c r="G7" s="6">
        <f t="shared" si="2"/>
        <v>32.25</v>
      </c>
      <c r="H7" s="6">
        <f t="shared" si="2"/>
        <v>1423.5</v>
      </c>
      <c r="I7" s="6">
        <f t="shared" si="2"/>
        <v>2268.25</v>
      </c>
      <c r="J7" s="6">
        <f t="shared" si="2"/>
        <v>11519.75</v>
      </c>
    </row>
    <row r="8" spans="1:10" s="2" customFormat="1" ht="11.25" customHeight="1">
      <c r="A8" s="5" t="s">
        <v>39</v>
      </c>
      <c r="B8" s="6">
        <f aca="true" t="shared" si="3" ref="B8:J8">SUM(B25:B28)/4</f>
        <v>116</v>
      </c>
      <c r="C8" s="6">
        <f t="shared" si="3"/>
        <v>1074.75</v>
      </c>
      <c r="D8" s="6">
        <f t="shared" si="3"/>
        <v>16.25</v>
      </c>
      <c r="E8" s="6">
        <f t="shared" si="3"/>
        <v>6434.5</v>
      </c>
      <c r="F8" s="6">
        <f t="shared" si="3"/>
        <v>97.25</v>
      </c>
      <c r="G8" s="6">
        <f t="shared" si="3"/>
        <v>32.5</v>
      </c>
      <c r="H8" s="6">
        <f t="shared" si="3"/>
        <v>1599.25</v>
      </c>
      <c r="I8" s="6">
        <f t="shared" si="3"/>
        <v>2371.5</v>
      </c>
      <c r="J8" s="6">
        <f t="shared" si="3"/>
        <v>11742</v>
      </c>
    </row>
    <row r="9" spans="1:10" s="2" customFormat="1" ht="11.25" customHeight="1">
      <c r="A9" s="5" t="s">
        <v>40</v>
      </c>
      <c r="B9" s="6">
        <f>SUM(B29:B32)/4</f>
        <v>179.5</v>
      </c>
      <c r="C9" s="6">
        <f aca="true" t="shared" si="4" ref="C9:J9">SUM(C29:C32)/4</f>
        <v>1147</v>
      </c>
      <c r="D9" s="6">
        <f t="shared" si="4"/>
        <v>55.75</v>
      </c>
      <c r="E9" s="6">
        <f t="shared" si="4"/>
        <v>8671.25</v>
      </c>
      <c r="F9" s="6">
        <f t="shared" si="4"/>
        <v>109.25</v>
      </c>
      <c r="G9" s="6">
        <f t="shared" si="4"/>
        <v>39.75</v>
      </c>
      <c r="H9" s="6">
        <f t="shared" si="4"/>
        <v>1890.75</v>
      </c>
      <c r="I9" s="6">
        <f t="shared" si="4"/>
        <v>2789</v>
      </c>
      <c r="J9" s="6">
        <f t="shared" si="4"/>
        <v>14882.25</v>
      </c>
    </row>
    <row r="10" spans="1:10" s="2" customFormat="1" ht="11.25" customHeight="1">
      <c r="A10" s="5" t="s">
        <v>41</v>
      </c>
      <c r="B10" s="6">
        <f>SUM(B33:B36)/4</f>
        <v>210.5</v>
      </c>
      <c r="C10" s="6">
        <f aca="true" t="shared" si="5" ref="C10:J10">SUM(C33:C36)/4</f>
        <v>1098.25</v>
      </c>
      <c r="D10" s="6">
        <f t="shared" si="5"/>
        <v>55</v>
      </c>
      <c r="E10" s="6">
        <f t="shared" si="5"/>
        <v>9221.75</v>
      </c>
      <c r="F10" s="6">
        <f t="shared" si="5"/>
        <v>116.25</v>
      </c>
      <c r="G10" s="6">
        <f t="shared" si="5"/>
        <v>23</v>
      </c>
      <c r="H10" s="6">
        <f t="shared" si="5"/>
        <v>2036.5</v>
      </c>
      <c r="I10" s="6">
        <f t="shared" si="5"/>
        <v>3012.5</v>
      </c>
      <c r="J10" s="6">
        <f t="shared" si="5"/>
        <v>15773.75</v>
      </c>
    </row>
    <row r="11" spans="1:10" s="2" customFormat="1" ht="11.25" customHeight="1">
      <c r="A11" s="5" t="s">
        <v>42</v>
      </c>
      <c r="B11" s="6">
        <f>SUM(B37:B40)/4</f>
        <v>211.5</v>
      </c>
      <c r="C11" s="6">
        <f>SUM(C37:C40)/4</f>
        <v>876.5</v>
      </c>
      <c r="D11" s="6">
        <f aca="true" t="shared" si="6" ref="D11:J11">SUM(D37:D40)/4</f>
        <v>35.5</v>
      </c>
      <c r="E11" s="6">
        <f t="shared" si="6"/>
        <v>9606.75</v>
      </c>
      <c r="F11" s="6">
        <f t="shared" si="6"/>
        <v>107.25</v>
      </c>
      <c r="G11" s="6">
        <f t="shared" si="6"/>
        <v>32</v>
      </c>
      <c r="H11" s="6">
        <f t="shared" si="6"/>
        <v>2230.5</v>
      </c>
      <c r="I11" s="6">
        <f t="shared" si="6"/>
        <v>3246.75</v>
      </c>
      <c r="J11" s="6">
        <f t="shared" si="6"/>
        <v>16346.75</v>
      </c>
    </row>
    <row r="12" spans="1:10" s="8" customFormat="1" ht="9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9.75">
      <c r="A13" s="9" t="s">
        <v>43</v>
      </c>
      <c r="B13" s="10">
        <v>131</v>
      </c>
      <c r="C13" s="10">
        <v>792</v>
      </c>
      <c r="D13" s="10">
        <v>15</v>
      </c>
      <c r="E13" s="10">
        <v>4637</v>
      </c>
      <c r="F13" s="10">
        <v>111</v>
      </c>
      <c r="G13" s="10">
        <v>20</v>
      </c>
      <c r="H13" s="10">
        <v>1053</v>
      </c>
      <c r="I13" s="10">
        <v>1896</v>
      </c>
      <c r="J13" s="10">
        <f aca="true" t="shared" si="7" ref="J13:J28">SUM(B13:I13)</f>
        <v>8655</v>
      </c>
    </row>
    <row r="14" spans="1:10" ht="9.75">
      <c r="A14" s="9" t="s">
        <v>44</v>
      </c>
      <c r="B14" s="10">
        <v>138</v>
      </c>
      <c r="C14" s="10">
        <v>880</v>
      </c>
      <c r="D14" s="10">
        <v>19</v>
      </c>
      <c r="E14" s="10">
        <v>4812</v>
      </c>
      <c r="F14" s="10">
        <v>113</v>
      </c>
      <c r="G14" s="10">
        <v>30</v>
      </c>
      <c r="H14" s="10">
        <v>1116</v>
      </c>
      <c r="I14" s="10">
        <v>1984</v>
      </c>
      <c r="J14" s="10">
        <f t="shared" si="7"/>
        <v>9092</v>
      </c>
    </row>
    <row r="15" spans="1:10" ht="9.75">
      <c r="A15" s="9" t="s">
        <v>45</v>
      </c>
      <c r="B15" s="10">
        <v>161</v>
      </c>
      <c r="C15" s="10">
        <v>889</v>
      </c>
      <c r="D15" s="10">
        <v>26</v>
      </c>
      <c r="E15" s="10">
        <v>5049</v>
      </c>
      <c r="F15" s="10">
        <v>114</v>
      </c>
      <c r="G15" s="10">
        <v>20</v>
      </c>
      <c r="H15" s="10">
        <v>1152</v>
      </c>
      <c r="I15" s="10">
        <v>2004</v>
      </c>
      <c r="J15" s="10">
        <f t="shared" si="7"/>
        <v>9415</v>
      </c>
    </row>
    <row r="16" spans="1:10" ht="9.75">
      <c r="A16" s="9" t="s">
        <v>46</v>
      </c>
      <c r="B16" s="10">
        <v>210</v>
      </c>
      <c r="C16" s="10">
        <v>986</v>
      </c>
      <c r="D16" s="10">
        <v>18</v>
      </c>
      <c r="E16" s="10">
        <v>5374</v>
      </c>
      <c r="F16" s="10">
        <v>117</v>
      </c>
      <c r="G16" s="10">
        <v>22</v>
      </c>
      <c r="H16" s="10">
        <v>1230</v>
      </c>
      <c r="I16" s="10">
        <v>2092</v>
      </c>
      <c r="J16" s="10">
        <f t="shared" si="7"/>
        <v>10049</v>
      </c>
    </row>
    <row r="17" spans="1:10" ht="9.75">
      <c r="A17" s="9" t="s">
        <v>47</v>
      </c>
      <c r="B17" s="10">
        <v>279</v>
      </c>
      <c r="C17" s="10">
        <v>1081</v>
      </c>
      <c r="D17" s="10">
        <v>15</v>
      </c>
      <c r="E17" s="10">
        <v>5513</v>
      </c>
      <c r="F17" s="10">
        <v>112</v>
      </c>
      <c r="G17" s="10">
        <v>19</v>
      </c>
      <c r="H17" s="10">
        <v>1277</v>
      </c>
      <c r="I17" s="10">
        <v>2091</v>
      </c>
      <c r="J17" s="10">
        <f t="shared" si="7"/>
        <v>10387</v>
      </c>
    </row>
    <row r="18" spans="1:10" ht="9.75">
      <c r="A18" s="9" t="s">
        <v>44</v>
      </c>
      <c r="B18" s="10">
        <v>302</v>
      </c>
      <c r="C18" s="10">
        <v>1124</v>
      </c>
      <c r="D18" s="10">
        <v>32</v>
      </c>
      <c r="E18" s="10">
        <v>5569</v>
      </c>
      <c r="F18" s="10">
        <v>118</v>
      </c>
      <c r="G18" s="10">
        <v>34</v>
      </c>
      <c r="H18" s="10">
        <v>1332</v>
      </c>
      <c r="I18" s="10">
        <v>2177</v>
      </c>
      <c r="J18" s="10">
        <f t="shared" si="7"/>
        <v>10688</v>
      </c>
    </row>
    <row r="19" spans="1:10" ht="9.75">
      <c r="A19" s="9" t="s">
        <v>45</v>
      </c>
      <c r="B19" s="10">
        <v>353</v>
      </c>
      <c r="C19" s="10">
        <v>1194</v>
      </c>
      <c r="D19" s="10">
        <v>21</v>
      </c>
      <c r="E19" s="10">
        <v>6039</v>
      </c>
      <c r="F19" s="10">
        <v>117</v>
      </c>
      <c r="G19" s="10">
        <v>29</v>
      </c>
      <c r="H19" s="10">
        <v>1363</v>
      </c>
      <c r="I19" s="10">
        <v>2205</v>
      </c>
      <c r="J19" s="10">
        <f t="shared" si="7"/>
        <v>11321</v>
      </c>
    </row>
    <row r="20" spans="1:10" ht="9.75">
      <c r="A20" s="9" t="s">
        <v>46</v>
      </c>
      <c r="B20" s="10">
        <v>283</v>
      </c>
      <c r="C20" s="10">
        <v>1246</v>
      </c>
      <c r="D20" s="10">
        <v>32</v>
      </c>
      <c r="E20" s="10">
        <v>6088</v>
      </c>
      <c r="F20" s="10">
        <v>123</v>
      </c>
      <c r="G20" s="10">
        <v>30</v>
      </c>
      <c r="H20" s="10">
        <v>1376</v>
      </c>
      <c r="I20" s="10">
        <v>2225</v>
      </c>
      <c r="J20" s="10">
        <f t="shared" si="7"/>
        <v>11403</v>
      </c>
    </row>
    <row r="21" spans="1:10" ht="9.75">
      <c r="A21" s="9" t="s">
        <v>48</v>
      </c>
      <c r="B21" s="10">
        <v>280</v>
      </c>
      <c r="C21" s="10">
        <v>1227</v>
      </c>
      <c r="D21" s="10">
        <v>24</v>
      </c>
      <c r="E21" s="10">
        <v>6361</v>
      </c>
      <c r="F21" s="10">
        <v>117</v>
      </c>
      <c r="G21" s="10">
        <v>40</v>
      </c>
      <c r="H21" s="10">
        <v>1384</v>
      </c>
      <c r="I21" s="10">
        <v>2220</v>
      </c>
      <c r="J21" s="10">
        <f t="shared" si="7"/>
        <v>11653</v>
      </c>
    </row>
    <row r="22" spans="1:10" ht="9.75">
      <c r="A22" s="9" t="s">
        <v>44</v>
      </c>
      <c r="B22" s="10">
        <v>115</v>
      </c>
      <c r="C22" s="10">
        <v>1158</v>
      </c>
      <c r="D22" s="10">
        <v>23</v>
      </c>
      <c r="E22" s="10">
        <v>6254</v>
      </c>
      <c r="F22" s="10">
        <v>113</v>
      </c>
      <c r="G22" s="10">
        <v>30</v>
      </c>
      <c r="H22" s="10">
        <v>1398</v>
      </c>
      <c r="I22" s="10">
        <v>2281</v>
      </c>
      <c r="J22" s="10">
        <f t="shared" si="7"/>
        <v>11372</v>
      </c>
    </row>
    <row r="23" spans="1:10" ht="9.75">
      <c r="A23" s="9" t="s">
        <v>45</v>
      </c>
      <c r="B23" s="10">
        <v>106</v>
      </c>
      <c r="C23" s="10">
        <v>1267</v>
      </c>
      <c r="D23" s="10">
        <v>21</v>
      </c>
      <c r="E23" s="10">
        <v>6163</v>
      </c>
      <c r="F23" s="10">
        <v>110</v>
      </c>
      <c r="G23" s="10">
        <v>33</v>
      </c>
      <c r="H23" s="10">
        <v>1420</v>
      </c>
      <c r="I23" s="10">
        <v>2255</v>
      </c>
      <c r="J23" s="10">
        <f t="shared" si="7"/>
        <v>11375</v>
      </c>
    </row>
    <row r="24" spans="1:10" ht="9.75">
      <c r="A24" s="9" t="s">
        <v>46</v>
      </c>
      <c r="B24" s="10">
        <v>118</v>
      </c>
      <c r="C24" s="10">
        <v>1256</v>
      </c>
      <c r="D24" s="10">
        <v>28</v>
      </c>
      <c r="E24" s="10">
        <v>6334</v>
      </c>
      <c r="F24" s="10">
        <v>108</v>
      </c>
      <c r="G24" s="10">
        <v>26</v>
      </c>
      <c r="H24" s="10">
        <v>1492</v>
      </c>
      <c r="I24" s="10">
        <v>2317</v>
      </c>
      <c r="J24" s="10">
        <f t="shared" si="7"/>
        <v>11679</v>
      </c>
    </row>
    <row r="25" spans="1:10" ht="9.75">
      <c r="A25" s="9" t="s">
        <v>49</v>
      </c>
      <c r="B25" s="10">
        <v>109</v>
      </c>
      <c r="C25" s="10">
        <v>1216</v>
      </c>
      <c r="D25" s="10">
        <v>16</v>
      </c>
      <c r="E25" s="10">
        <v>6108</v>
      </c>
      <c r="F25" s="10">
        <v>98</v>
      </c>
      <c r="G25" s="10">
        <v>37</v>
      </c>
      <c r="H25" s="10">
        <v>1496</v>
      </c>
      <c r="I25" s="10">
        <v>2314</v>
      </c>
      <c r="J25" s="10">
        <f t="shared" si="7"/>
        <v>11394</v>
      </c>
    </row>
    <row r="26" spans="1:10" ht="9.75">
      <c r="A26" s="9" t="s">
        <v>44</v>
      </c>
      <c r="B26" s="10">
        <v>140</v>
      </c>
      <c r="C26" s="10">
        <v>1155</v>
      </c>
      <c r="D26" s="10">
        <v>14</v>
      </c>
      <c r="E26" s="10">
        <v>6286</v>
      </c>
      <c r="F26" s="10">
        <v>102</v>
      </c>
      <c r="G26" s="10">
        <v>35</v>
      </c>
      <c r="H26" s="10">
        <v>1594</v>
      </c>
      <c r="I26" s="10">
        <v>2348</v>
      </c>
      <c r="J26" s="10">
        <f t="shared" si="7"/>
        <v>11674</v>
      </c>
    </row>
    <row r="27" spans="1:10" ht="9.75">
      <c r="A27" s="9" t="s">
        <v>45</v>
      </c>
      <c r="B27" s="10">
        <v>109</v>
      </c>
      <c r="C27" s="10">
        <v>1038</v>
      </c>
      <c r="D27" s="10">
        <v>17</v>
      </c>
      <c r="E27" s="10">
        <v>6460</v>
      </c>
      <c r="F27" s="10">
        <v>93</v>
      </c>
      <c r="G27" s="10">
        <v>32</v>
      </c>
      <c r="H27" s="10">
        <v>1616</v>
      </c>
      <c r="I27" s="10">
        <v>2345</v>
      </c>
      <c r="J27" s="10">
        <f t="shared" si="7"/>
        <v>11710</v>
      </c>
    </row>
    <row r="28" spans="1:10" ht="9.75">
      <c r="A28" s="9" t="s">
        <v>46</v>
      </c>
      <c r="B28" s="10">
        <v>106</v>
      </c>
      <c r="C28" s="10">
        <v>890</v>
      </c>
      <c r="D28" s="10">
        <v>18</v>
      </c>
      <c r="E28" s="10">
        <v>6884</v>
      </c>
      <c r="F28" s="10">
        <v>96</v>
      </c>
      <c r="G28" s="10">
        <v>26</v>
      </c>
      <c r="H28" s="10">
        <v>1691</v>
      </c>
      <c r="I28" s="10">
        <v>2479</v>
      </c>
      <c r="J28" s="10">
        <f t="shared" si="7"/>
        <v>12190</v>
      </c>
    </row>
    <row r="29" spans="1:12" ht="9.75">
      <c r="A29" s="9" t="s">
        <v>50</v>
      </c>
      <c r="B29" s="10">
        <v>178</v>
      </c>
      <c r="C29" s="10">
        <v>1099</v>
      </c>
      <c r="D29" s="10">
        <f>13+41+8</f>
        <v>62</v>
      </c>
      <c r="E29" s="10">
        <v>8317</v>
      </c>
      <c r="F29" s="10">
        <f>91+11</f>
        <v>102</v>
      </c>
      <c r="G29" s="10">
        <v>38</v>
      </c>
      <c r="H29" s="10">
        <v>1805</v>
      </c>
      <c r="I29" s="10">
        <v>2640</v>
      </c>
      <c r="J29" s="10">
        <f>SUM(B29:I29)</f>
        <v>14241</v>
      </c>
      <c r="L29" s="12"/>
    </row>
    <row r="30" spans="1:10" ht="9.75">
      <c r="A30" s="9" t="s">
        <v>44</v>
      </c>
      <c r="B30" s="12">
        <v>176</v>
      </c>
      <c r="C30" s="12">
        <v>1142</v>
      </c>
      <c r="D30" s="12">
        <f>13+27+11</f>
        <v>51</v>
      </c>
      <c r="E30" s="12">
        <v>8616</v>
      </c>
      <c r="F30" s="12">
        <f>88+11</f>
        <v>99</v>
      </c>
      <c r="G30" s="12">
        <v>43</v>
      </c>
      <c r="H30" s="12">
        <v>1848</v>
      </c>
      <c r="I30" s="12">
        <v>2740</v>
      </c>
      <c r="J30" s="10">
        <f aca="true" t="shared" si="8" ref="J30:J40">SUM(B30:I30)</f>
        <v>14715</v>
      </c>
    </row>
    <row r="31" spans="1:10" ht="9.75">
      <c r="A31" s="9" t="s">
        <v>45</v>
      </c>
      <c r="B31" s="12">
        <v>182</v>
      </c>
      <c r="C31" s="12">
        <v>1115</v>
      </c>
      <c r="D31" s="12">
        <f>12+30+12</f>
        <v>54</v>
      </c>
      <c r="E31" s="12">
        <v>8732</v>
      </c>
      <c r="F31" s="12">
        <f>88+15</f>
        <v>103</v>
      </c>
      <c r="G31" s="12">
        <v>41</v>
      </c>
      <c r="H31" s="12">
        <v>1869</v>
      </c>
      <c r="I31" s="12">
        <v>2756</v>
      </c>
      <c r="J31" s="10">
        <f t="shared" si="8"/>
        <v>14852</v>
      </c>
    </row>
    <row r="32" spans="1:10" ht="9.75">
      <c r="A32" s="9" t="s">
        <v>46</v>
      </c>
      <c r="B32" s="12">
        <v>182</v>
      </c>
      <c r="C32" s="12">
        <f>1212+20</f>
        <v>1232</v>
      </c>
      <c r="D32" s="12">
        <f>12+32+12</f>
        <v>56</v>
      </c>
      <c r="E32" s="12">
        <v>9020</v>
      </c>
      <c r="F32" s="12">
        <f>117+16</f>
        <v>133</v>
      </c>
      <c r="G32" s="12">
        <v>37</v>
      </c>
      <c r="H32" s="12">
        <v>2041</v>
      </c>
      <c r="I32" s="12">
        <v>3020</v>
      </c>
      <c r="J32" s="10">
        <f t="shared" si="8"/>
        <v>15721</v>
      </c>
    </row>
    <row r="33" spans="1:10" ht="9.75">
      <c r="A33" s="9" t="s">
        <v>51</v>
      </c>
      <c r="B33" s="12">
        <v>221</v>
      </c>
      <c r="C33" s="12">
        <f>1082+25</f>
        <v>1107</v>
      </c>
      <c r="D33" s="12">
        <f>12+28+13</f>
        <v>53</v>
      </c>
      <c r="E33" s="12">
        <v>9024</v>
      </c>
      <c r="F33" s="12">
        <f>117+14</f>
        <v>131</v>
      </c>
      <c r="G33" s="12">
        <v>25</v>
      </c>
      <c r="H33" s="12">
        <v>1941</v>
      </c>
      <c r="I33" s="12">
        <v>2978</v>
      </c>
      <c r="J33" s="10">
        <f t="shared" si="8"/>
        <v>15480</v>
      </c>
    </row>
    <row r="34" spans="1:10" ht="9.75">
      <c r="A34" s="13" t="s">
        <v>52</v>
      </c>
      <c r="B34" s="12">
        <v>219</v>
      </c>
      <c r="C34" s="12">
        <f>1169+25</f>
        <v>1194</v>
      </c>
      <c r="D34" s="12">
        <f>16+52+15</f>
        <v>83</v>
      </c>
      <c r="E34" s="12">
        <v>9344</v>
      </c>
      <c r="F34" s="12">
        <f>89+14</f>
        <v>103</v>
      </c>
      <c r="G34" s="12">
        <v>23</v>
      </c>
      <c r="H34" s="12">
        <v>2068</v>
      </c>
      <c r="I34" s="12">
        <v>3019</v>
      </c>
      <c r="J34" s="10">
        <f t="shared" si="8"/>
        <v>16053</v>
      </c>
    </row>
    <row r="35" spans="1:10" ht="9.75">
      <c r="A35" s="13" t="s">
        <v>53</v>
      </c>
      <c r="B35" s="12">
        <v>199</v>
      </c>
      <c r="C35" s="12">
        <f>1008+25</f>
        <v>1033</v>
      </c>
      <c r="D35" s="12">
        <f>12+17+15</f>
        <v>44</v>
      </c>
      <c r="E35" s="12">
        <v>9122</v>
      </c>
      <c r="F35" s="12">
        <f>112+14</f>
        <v>126</v>
      </c>
      <c r="G35" s="12">
        <v>19</v>
      </c>
      <c r="H35" s="12">
        <v>2015</v>
      </c>
      <c r="I35" s="12">
        <v>2949</v>
      </c>
      <c r="J35" s="10">
        <f t="shared" si="8"/>
        <v>15507</v>
      </c>
    </row>
    <row r="36" spans="1:10" ht="9.75">
      <c r="A36" s="13" t="s">
        <v>54</v>
      </c>
      <c r="B36" s="12">
        <v>203</v>
      </c>
      <c r="C36" s="12">
        <f>1023+36</f>
        <v>1059</v>
      </c>
      <c r="D36" s="12">
        <f>11+7+22</f>
        <v>40</v>
      </c>
      <c r="E36" s="12">
        <v>9397</v>
      </c>
      <c r="F36" s="12">
        <f>91+14</f>
        <v>105</v>
      </c>
      <c r="G36" s="12">
        <v>25</v>
      </c>
      <c r="H36" s="12">
        <v>2122</v>
      </c>
      <c r="I36" s="12">
        <v>3104</v>
      </c>
      <c r="J36" s="10">
        <f t="shared" si="8"/>
        <v>16055</v>
      </c>
    </row>
    <row r="37" spans="1:10" ht="9.75">
      <c r="A37" s="9" t="s">
        <v>55</v>
      </c>
      <c r="B37" s="12">
        <v>210</v>
      </c>
      <c r="C37" s="12">
        <f>869+37</f>
        <v>906</v>
      </c>
      <c r="D37" s="12">
        <f>11+3+34</f>
        <v>48</v>
      </c>
      <c r="E37" s="12">
        <v>9350</v>
      </c>
      <c r="F37" s="12">
        <f>90+14</f>
        <v>104</v>
      </c>
      <c r="G37" s="12">
        <v>29</v>
      </c>
      <c r="H37" s="12">
        <v>2119</v>
      </c>
      <c r="I37" s="12">
        <v>3130</v>
      </c>
      <c r="J37" s="10">
        <f t="shared" si="8"/>
        <v>15896</v>
      </c>
    </row>
    <row r="38" spans="1:10" ht="9.75">
      <c r="A38" s="9" t="s">
        <v>56</v>
      </c>
      <c r="B38" s="12">
        <v>250</v>
      </c>
      <c r="C38" s="12">
        <f>851+37</f>
        <v>888</v>
      </c>
      <c r="D38" s="12">
        <f>11+2+18</f>
        <v>31</v>
      </c>
      <c r="E38" s="12">
        <v>9456</v>
      </c>
      <c r="F38" s="12">
        <f>91+15</f>
        <v>106</v>
      </c>
      <c r="G38" s="12">
        <v>30</v>
      </c>
      <c r="H38" s="12">
        <v>2200</v>
      </c>
      <c r="I38" s="12">
        <v>3246</v>
      </c>
      <c r="J38" s="10">
        <f t="shared" si="8"/>
        <v>16207</v>
      </c>
    </row>
    <row r="39" spans="1:10" ht="9.75">
      <c r="A39" s="9" t="s">
        <v>57</v>
      </c>
      <c r="B39" s="12">
        <v>212</v>
      </c>
      <c r="C39" s="12">
        <f>874+37</f>
        <v>911</v>
      </c>
      <c r="D39" s="12">
        <f>11+2+19</f>
        <v>32</v>
      </c>
      <c r="E39" s="12">
        <v>9444</v>
      </c>
      <c r="F39" s="12">
        <f>92+16</f>
        <v>108</v>
      </c>
      <c r="G39" s="12">
        <v>21</v>
      </c>
      <c r="H39" s="12">
        <v>2219</v>
      </c>
      <c r="I39" s="12">
        <v>3224</v>
      </c>
      <c r="J39" s="10">
        <f t="shared" si="8"/>
        <v>16171</v>
      </c>
    </row>
    <row r="40" spans="1:10" ht="9.75">
      <c r="A40" s="9" t="s">
        <v>58</v>
      </c>
      <c r="B40" s="12">
        <v>174</v>
      </c>
      <c r="C40" s="12">
        <f>762+39</f>
        <v>801</v>
      </c>
      <c r="D40" s="12">
        <f>10+3+18</f>
        <v>31</v>
      </c>
      <c r="E40" s="12">
        <v>10177</v>
      </c>
      <c r="F40" s="12">
        <f>94+17</f>
        <v>111</v>
      </c>
      <c r="G40" s="12">
        <v>48</v>
      </c>
      <c r="H40" s="12">
        <v>2384</v>
      </c>
      <c r="I40" s="12">
        <v>3387</v>
      </c>
      <c r="J40" s="10">
        <f t="shared" si="8"/>
        <v>17113</v>
      </c>
    </row>
    <row r="41" ht="9.75">
      <c r="A41" s="9"/>
    </row>
    <row r="42" ht="9.75">
      <c r="A42" s="15" t="s">
        <v>59</v>
      </c>
    </row>
    <row r="43" ht="9.75">
      <c r="A43" s="14"/>
    </row>
    <row r="44" ht="9.75">
      <c r="A44" s="14"/>
    </row>
  </sheetData>
  <sheetProtection/>
  <printOptions horizontalCentered="1"/>
  <pageMargins left="0.1968503937007874" right="0.1968503937007874" top="0.5905511811023623" bottom="0.1968503937007874" header="0.15748031496062992" footer="0.1968503937007874"/>
  <pageSetup horizontalDpi="180" verticalDpi="180" orientation="landscape" paperSize="9" r:id="rId2"/>
  <headerFooter alignWithMargins="0">
    <oddFooter>&amp;CImpieghi&amp;RPagina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NANINI DOMENICO</dc:creator>
  <cp:keywords/>
  <dc:description/>
  <cp:lastModifiedBy>Monari</cp:lastModifiedBy>
  <cp:lastPrinted>2013-11-08T10:38:03Z</cp:lastPrinted>
  <dcterms:modified xsi:type="dcterms:W3CDTF">2016-09-19T13:10:38Z</dcterms:modified>
  <cp:category/>
  <cp:version/>
  <cp:contentType/>
  <cp:contentStatus/>
</cp:coreProperties>
</file>