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40" windowHeight="12135" tabRatio="601" activeTab="0"/>
  </bookViews>
  <sheets>
    <sheet name="Export dal 2009" sheetId="1" r:id="rId1"/>
    <sheet name="Export dal 2006 al 2008" sheetId="2" r:id="rId2"/>
    <sheet name="Export 2002-2006" sheetId="3" r:id="rId3"/>
    <sheet name="Export 1999-2001 " sheetId="4" r:id="rId4"/>
    <sheet name="Export 1993-1999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<sst xmlns="http://schemas.openxmlformats.org/spreadsheetml/2006/main" count="394" uniqueCount="94">
  <si>
    <t>ESPORTAZIONI TOTALI DELLA PROVINCIA DI MODENA PER AREE DI DESTINAZIONE</t>
  </si>
  <si>
    <t>Valori in migliaia di lire correnti - variazioni % rispetto allo stesso periodo dell'anno precedente - dati provvisori</t>
  </si>
  <si>
    <t>PERIODI</t>
  </si>
  <si>
    <t>UNIONE EUROPEA</t>
  </si>
  <si>
    <t>VAR %</t>
  </si>
  <si>
    <t>Germania</t>
  </si>
  <si>
    <t>Francia</t>
  </si>
  <si>
    <t>Regno Unito</t>
  </si>
  <si>
    <t>Spagna</t>
  </si>
  <si>
    <t>Belgio e Lux.</t>
  </si>
  <si>
    <t>Paesi Bassi</t>
  </si>
  <si>
    <t>ALTRI EUROPA OVEST</t>
  </si>
  <si>
    <t>EUROPA EST</t>
  </si>
  <si>
    <t>Anno 1993</t>
  </si>
  <si>
    <t>Anno 1994</t>
  </si>
  <si>
    <t>Anno 1995</t>
  </si>
  <si>
    <t>Anno 1996</t>
  </si>
  <si>
    <t>Anno 1997</t>
  </si>
  <si>
    <t>Anno 1998</t>
  </si>
  <si>
    <t>Anno 1999</t>
  </si>
  <si>
    <t>1993 - 1° sem.</t>
  </si>
  <si>
    <t xml:space="preserve"> - 2° sem.</t>
  </si>
  <si>
    <t>1994 - 1° sem.</t>
  </si>
  <si>
    <t>1995 - 1° sem.</t>
  </si>
  <si>
    <t>1996 - 1° sem.</t>
  </si>
  <si>
    <t>1997 - 1° sem.</t>
  </si>
  <si>
    <t>1998 - 1° sem.</t>
  </si>
  <si>
    <t>1999 - 1° sem.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</si>
  <si>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</si>
  <si>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</si>
  <si>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</si>
  <si>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</si>
  <si>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</si>
  <si>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</si>
  <si>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</si>
  <si>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</t>
  </si>
  <si>
    <t>TOTALE</t>
  </si>
  <si>
    <t>Fonte: elaborazioni Camera di Commercio di Modena su dati Istat</t>
  </si>
  <si>
    <t>Nota: nel 1995 sono entrati nella Unione Europea tre paesi che in precedenza erano nell'area degli altri Europa Ovest: Svezia, Finlandia e Austria.</t>
  </si>
  <si>
    <t>Pertanto i dati della UE e Altri Europa Ovest relativi al 1995 non sono confrontabili con quelli degli anni precedenti.</t>
  </si>
  <si>
    <r>
      <t xml:space="preserve">Valori in migliaia di lire correnti - variazioni % rispetto allo stesso periodo dell'anno precedente </t>
    </r>
    <r>
      <rPr>
        <sz val="11"/>
        <rFont val="Arial"/>
        <family val="2"/>
      </rPr>
      <t>- anno 1999 definitivo - anno 2000 provvisorio</t>
    </r>
  </si>
  <si>
    <t>Anno 2000</t>
  </si>
  <si>
    <t>Anno 2001</t>
  </si>
  <si>
    <t>2000 - 1° sem.</t>
  </si>
  <si>
    <t>2001 - 1° sem.</t>
  </si>
  <si>
    <t>AUSTRALIA E OCEANIA e altri</t>
  </si>
  <si>
    <t xml:space="preserve">Dall'anno 2000 i dati delle importazioni ed esportazioni sono calcolati secondo la nuvoa classificazione delle attività economiche ATECO 91. </t>
  </si>
  <si>
    <t>E' stata ricostruita la serie dell'anno 1999 secondo la nuova classificazione per rendere possibile il confronto del 2000 con l'anno precedente.</t>
  </si>
  <si>
    <r>
      <t xml:space="preserve">Valori in euro correnti - variazioni % rispetto allo stesso periodo dell'anno precedente </t>
    </r>
    <r>
      <rPr>
        <sz val="11"/>
        <rFont val="Arial"/>
        <family val="2"/>
      </rPr>
      <t>- dati provvisori</t>
    </r>
  </si>
  <si>
    <t>Anno 2002</t>
  </si>
  <si>
    <t>2002 - 1° sem.</t>
  </si>
  <si>
    <t xml:space="preserve">Dall'anno 2002 i dati delle importazioni ed esportazioni sono calcolati secondo la nuvoa classificazione delle attività economiche ATECO 2002. </t>
  </si>
  <si>
    <t>2003 - 1° sem.</t>
  </si>
  <si>
    <t>Anno 2003</t>
  </si>
  <si>
    <t>UNIONE EUROPEA a 15</t>
  </si>
  <si>
    <t>ALTRI PAESI EUROPEI</t>
  </si>
  <si>
    <t>Anno 2004</t>
  </si>
  <si>
    <t>2004 - 1° sem.</t>
  </si>
  <si>
    <t xml:space="preserve">n.d </t>
  </si>
  <si>
    <t>2005 - 1° sem.</t>
  </si>
  <si>
    <t>Anno 2005</t>
  </si>
  <si>
    <t>2006 - 1° sem.</t>
  </si>
  <si>
    <t>Anno 2006</t>
  </si>
  <si>
    <t>10  PAESI NUOVI ENTRATI UE dal 2004</t>
  </si>
  <si>
    <t>12  PAESI NUOVI ENTRATI UE</t>
  </si>
  <si>
    <t>UNIONE EUROPEA a 27</t>
  </si>
  <si>
    <t>2007 - 1° sem.</t>
  </si>
  <si>
    <t>A partire dall'anno 2006 sono conteggiati nel gruppo "12 Paesi nuovi entrati" anche Romania e Bulgaria, che entreranno a far parte dell'U.E. a 27 dall'anno 2007.</t>
  </si>
  <si>
    <t>Fonte: elaborazioni Ufficio Statistica Camera di Commercio di Modena su dati Istat</t>
  </si>
  <si>
    <t>Anno 2007</t>
  </si>
  <si>
    <t>Anno 2008</t>
  </si>
  <si>
    <t>2008 - 1° sem.</t>
  </si>
  <si>
    <t>Anno 2009</t>
  </si>
  <si>
    <t>2009 - 1° sem.</t>
  </si>
  <si>
    <t xml:space="preserve">Dall'anno 2009 i dati delle importazioni ed esportazioni sono calcolati secondo la nuvoa classificazione delle attività economiche ATECO 2007. </t>
  </si>
  <si>
    <t>Anno 2008*</t>
  </si>
  <si>
    <t>* dati definitivi</t>
  </si>
  <si>
    <t>Anno 2010</t>
  </si>
  <si>
    <t>2010 - 1° sem.</t>
  </si>
  <si>
    <t>Anno 2011</t>
  </si>
  <si>
    <t>2011 - 1° sem.</t>
  </si>
  <si>
    <t>Anno 2012</t>
  </si>
  <si>
    <t>2012 - 1° sem.</t>
  </si>
  <si>
    <t>2013 - 1° sem.</t>
  </si>
  <si>
    <t>Anno 2013</t>
  </si>
  <si>
    <t>13  PAESI NUOVI ENTRATI UE</t>
  </si>
  <si>
    <t>A partire dall'anno 2013 è conteggiata nel gruppo "13 Paesi nuovi entrati" anche la Croazia.</t>
  </si>
  <si>
    <t>Anno 2014</t>
  </si>
  <si>
    <t>2014 - 1° sem.</t>
  </si>
  <si>
    <t>CANADA E GROENLANDIA</t>
  </si>
  <si>
    <t>Anno 2015</t>
  </si>
  <si>
    <t>2015 - 1° sem.</t>
  </si>
  <si>
    <t>** fino al 2014 comprende altri paesi non UE</t>
  </si>
  <si>
    <t>OCEANIA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</si>
</sst>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General_)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_-* #,##0.0000_-;\-* #,##0.0000_-;_-* &quot;-&quot;_-;_-@_-"/>
    <numFmt numFmtId="192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187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86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46" applyNumberFormat="1" applyFont="1" applyBorder="1" applyAlignment="1">
      <alignment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0" xfId="48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right"/>
    </xf>
    <xf numFmtId="3" fontId="5" fillId="0" borderId="0" xfId="46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>
      <alignment/>
    </xf>
    <xf numFmtId="186" fontId="5" fillId="0" borderId="0" xfId="46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3" fontId="5" fillId="0" borderId="0" xfId="46" applyNumberFormat="1" applyFont="1" applyBorder="1" applyAlignment="1">
      <alignment horizontal="right"/>
    </xf>
    <xf numFmtId="41" fontId="5" fillId="0" borderId="0" xfId="46" applyFont="1" applyBorder="1" applyAlignment="1">
      <alignment horizontal="right"/>
    </xf>
    <xf numFmtId="3" fontId="5" fillId="0" borderId="11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186" fontId="5" fillId="0" borderId="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9" xfId="0" applyFont="1" applyBorder="1" applyAlignment="1">
      <alignment/>
    </xf>
    <xf numFmtId="186" fontId="5" fillId="0" borderId="19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left"/>
    </xf>
    <xf numFmtId="192" fontId="5" fillId="0" borderId="0" xfId="48" applyNumberFormat="1" applyFont="1" applyBorder="1" applyAlignment="1" applyProtection="1">
      <alignment/>
      <protection/>
    </xf>
    <xf numFmtId="192" fontId="5" fillId="0" borderId="0" xfId="46" applyNumberFormat="1" applyFont="1" applyBorder="1" applyAlignment="1">
      <alignment/>
    </xf>
    <xf numFmtId="192" fontId="5" fillId="0" borderId="0" xfId="46" applyNumberFormat="1" applyFont="1" applyBorder="1" applyAlignment="1">
      <alignment horizontal="right"/>
    </xf>
    <xf numFmtId="3" fontId="5" fillId="0" borderId="0" xfId="46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Alignment="1">
      <alignment/>
    </xf>
    <xf numFmtId="192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DATI-MEL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zoomScale="90" zoomScaleNormal="90" zoomScalePageLayoutView="0" workbookViewId="0" topLeftCell="A7">
      <selection activeCell="N38" sqref="N38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6.8515625" style="0" customWidth="1"/>
    <col min="4" max="4" width="12.00390625" style="0" customWidth="1"/>
    <col min="5" max="5" width="6.28125" style="0" customWidth="1"/>
    <col min="6" max="6" width="12.421875" style="0" customWidth="1"/>
    <col min="7" max="7" width="6.28125" style="0" customWidth="1"/>
    <col min="8" max="8" width="12.140625" style="0" customWidth="1"/>
    <col min="9" max="9" width="6.421875" style="0" customWidth="1"/>
    <col min="10" max="10" width="11.421875" style="0" customWidth="1"/>
    <col min="11" max="11" width="6.421875" style="0" customWidth="1"/>
    <col min="12" max="12" width="12.00390625" style="0" customWidth="1"/>
    <col min="13" max="13" width="6.57421875" style="0" customWidth="1"/>
    <col min="14" max="14" width="13.57421875" style="0" customWidth="1"/>
    <col min="15" max="15" width="6.57421875" style="0" customWidth="1"/>
    <col min="16" max="16" width="12.57421875" style="0" customWidth="1"/>
    <col min="17" max="17" width="6.57421875" style="0" customWidth="1"/>
    <col min="18" max="18" width="12.57421875" style="0" bestFit="1" customWidth="1"/>
    <col min="19" max="19" width="6.57421875" style="0" customWidth="1"/>
  </cols>
  <sheetData>
    <row r="1" spans="1:14" ht="15">
      <c r="A1" s="38" t="s">
        <v>0</v>
      </c>
      <c r="B1" s="39"/>
      <c r="C1" s="39"/>
      <c r="D1" s="39"/>
      <c r="E1" s="40"/>
      <c r="F1" s="39"/>
      <c r="G1" s="40"/>
      <c r="H1" s="39"/>
      <c r="I1" s="40"/>
      <c r="J1" s="39"/>
      <c r="K1" s="40"/>
      <c r="L1" s="39"/>
      <c r="M1" s="40"/>
      <c r="N1" s="41"/>
    </row>
    <row r="2" spans="1:14" ht="15">
      <c r="A2" s="42" t="s">
        <v>48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4" spans="1:19" ht="22.5">
      <c r="A4" s="52" t="s">
        <v>2</v>
      </c>
      <c r="B4" s="53" t="s">
        <v>54</v>
      </c>
      <c r="C4" s="54" t="s">
        <v>4</v>
      </c>
      <c r="D4" s="53" t="s">
        <v>5</v>
      </c>
      <c r="E4" s="54" t="s">
        <v>4</v>
      </c>
      <c r="F4" s="53" t="s">
        <v>6</v>
      </c>
      <c r="G4" s="54" t="s">
        <v>4</v>
      </c>
      <c r="H4" s="53" t="s">
        <v>7</v>
      </c>
      <c r="I4" s="54" t="s">
        <v>4</v>
      </c>
      <c r="J4" s="53" t="s">
        <v>8</v>
      </c>
      <c r="K4" s="54" t="s">
        <v>4</v>
      </c>
      <c r="L4" s="53" t="s">
        <v>9</v>
      </c>
      <c r="M4" s="54" t="s">
        <v>4</v>
      </c>
      <c r="N4" s="55" t="s">
        <v>85</v>
      </c>
      <c r="O4" s="54" t="s">
        <v>4</v>
      </c>
      <c r="P4" s="53" t="s">
        <v>65</v>
      </c>
      <c r="Q4" s="54" t="s">
        <v>4</v>
      </c>
      <c r="R4" s="56" t="s">
        <v>55</v>
      </c>
      <c r="S4" s="54" t="s">
        <v>4</v>
      </c>
    </row>
    <row r="5" spans="1:19" ht="12.75">
      <c r="A5" s="24" t="s">
        <v>75</v>
      </c>
      <c r="B5" s="65">
        <v>5035855423</v>
      </c>
      <c r="C5" s="65"/>
      <c r="D5" s="65">
        <v>1177122930</v>
      </c>
      <c r="E5" s="65"/>
      <c r="F5" s="65">
        <v>1229452592</v>
      </c>
      <c r="G5" s="65"/>
      <c r="H5" s="65">
        <v>587384403</v>
      </c>
      <c r="I5" s="65"/>
      <c r="J5" s="65">
        <v>545052907</v>
      </c>
      <c r="K5" s="65"/>
      <c r="L5" s="65">
        <v>327684933</v>
      </c>
      <c r="M5" s="65"/>
      <c r="N5" s="65">
        <v>834588010</v>
      </c>
      <c r="O5" s="65"/>
      <c r="P5" s="23">
        <f>B5+N5</f>
        <v>5870443433</v>
      </c>
      <c r="Q5" s="65"/>
      <c r="R5" s="65">
        <v>1320496535</v>
      </c>
      <c r="S5" s="65"/>
    </row>
    <row r="6" spans="1:19" ht="12.75">
      <c r="A6" s="24" t="s">
        <v>72</v>
      </c>
      <c r="B6" s="24">
        <f>B14+B15</f>
        <v>3800701799</v>
      </c>
      <c r="C6" s="62">
        <f aca="true" t="shared" si="0" ref="C6:C12">B6/B5*100-100</f>
        <v>-24.527185954520206</v>
      </c>
      <c r="D6" s="24">
        <f>D14+D15</f>
        <v>975516220</v>
      </c>
      <c r="E6" s="62">
        <f>D6/D5*100-100</f>
        <v>-17.12707355042349</v>
      </c>
      <c r="F6" s="24">
        <f>F14+F15</f>
        <v>994111645</v>
      </c>
      <c r="G6" s="62">
        <f aca="true" t="shared" si="1" ref="G6:G12">F6/F5*100-100</f>
        <v>-19.141929386407767</v>
      </c>
      <c r="H6" s="24">
        <f>H14+H15</f>
        <v>355826162</v>
      </c>
      <c r="I6" s="62">
        <f aca="true" t="shared" si="2" ref="I6:I12">H6/H5*100-100</f>
        <v>-39.42192537243792</v>
      </c>
      <c r="J6" s="24">
        <f>J14+J15</f>
        <v>334693135</v>
      </c>
      <c r="K6" s="62">
        <f aca="true" t="shared" si="3" ref="K6:K12">J6/J5*100-100</f>
        <v>-38.59437667396938</v>
      </c>
      <c r="L6" s="24">
        <f>L14+L15</f>
        <v>269493008</v>
      </c>
      <c r="M6" s="62">
        <f aca="true" t="shared" si="4" ref="M6:M12">L6/L5*100-100</f>
        <v>-17.75849883216938</v>
      </c>
      <c r="N6" s="24">
        <f>N14+N15</f>
        <v>590302556</v>
      </c>
      <c r="O6" s="62">
        <f aca="true" t="shared" si="5" ref="O6:O12">N6/N5*100-100</f>
        <v>-29.270184938314657</v>
      </c>
      <c r="P6" s="24">
        <f>P14+P15</f>
        <v>4391004355</v>
      </c>
      <c r="Q6" s="62">
        <f aca="true" t="shared" si="6" ref="Q6:Q12">P6/P5*100-100</f>
        <v>-25.20148767099107</v>
      </c>
      <c r="R6" s="24">
        <f>R14+R15</f>
        <v>983717791</v>
      </c>
      <c r="S6" s="62">
        <f aca="true" t="shared" si="7" ref="S6:S12">R6/R5*100-100</f>
        <v>-25.503947573781403</v>
      </c>
    </row>
    <row r="7" spans="1:19" ht="12.75">
      <c r="A7" s="24" t="s">
        <v>77</v>
      </c>
      <c r="B7" s="24">
        <f>B17+B16</f>
        <v>4338215383</v>
      </c>
      <c r="C7" s="62">
        <f t="shared" si="0"/>
        <v>14.1424824263094</v>
      </c>
      <c r="D7" s="24">
        <f>D17+D16</f>
        <v>1136710098</v>
      </c>
      <c r="E7" s="62">
        <f>D7/D6*100-100</f>
        <v>16.523956721088666</v>
      </c>
      <c r="F7" s="24">
        <f>F17+F16</f>
        <v>1133043319</v>
      </c>
      <c r="G7" s="62">
        <f t="shared" si="1"/>
        <v>13.975459868996907</v>
      </c>
      <c r="H7" s="24">
        <f>H17+H16</f>
        <v>442358177</v>
      </c>
      <c r="I7" s="62">
        <f t="shared" si="2"/>
        <v>24.318620787641805</v>
      </c>
      <c r="J7" s="24">
        <f>J17+J16</f>
        <v>396032432</v>
      </c>
      <c r="K7" s="62">
        <f t="shared" si="3"/>
        <v>18.327025739562913</v>
      </c>
      <c r="L7" s="24">
        <f>L17+L16</f>
        <v>294790801</v>
      </c>
      <c r="M7" s="62">
        <f t="shared" si="4"/>
        <v>9.387179722302847</v>
      </c>
      <c r="N7" s="24">
        <f>N17+N16</f>
        <v>659031330</v>
      </c>
      <c r="O7" s="62">
        <f t="shared" si="5"/>
        <v>11.64297414968334</v>
      </c>
      <c r="P7" s="24">
        <f>P17+P16</f>
        <v>4997246713</v>
      </c>
      <c r="Q7" s="62">
        <f t="shared" si="6"/>
        <v>13.806462234765874</v>
      </c>
      <c r="R7" s="24">
        <f>R17+R16</f>
        <v>835492482</v>
      </c>
      <c r="S7" s="62">
        <f t="shared" si="7"/>
        <v>-15.067869093769389</v>
      </c>
    </row>
    <row r="8" spans="1:19" ht="12.75">
      <c r="A8" s="24" t="s">
        <v>79</v>
      </c>
      <c r="B8" s="24">
        <v>4637352619</v>
      </c>
      <c r="C8" s="62">
        <f t="shared" si="0"/>
        <v>6.895398443613885</v>
      </c>
      <c r="D8" s="24">
        <v>1226211316</v>
      </c>
      <c r="E8" s="62">
        <f>D8/D7*100-100</f>
        <v>7.873706599200105</v>
      </c>
      <c r="F8" s="24">
        <v>1244311206</v>
      </c>
      <c r="G8" s="62">
        <f t="shared" si="1"/>
        <v>9.820267692695353</v>
      </c>
      <c r="H8" s="24">
        <v>477532121</v>
      </c>
      <c r="I8" s="62">
        <f t="shared" si="2"/>
        <v>7.95146237344224</v>
      </c>
      <c r="J8" s="24">
        <v>383811714</v>
      </c>
      <c r="K8" s="62">
        <f t="shared" si="3"/>
        <v>-3.0857871761371314</v>
      </c>
      <c r="L8" s="24">
        <v>319525336</v>
      </c>
      <c r="M8" s="62">
        <f t="shared" si="4"/>
        <v>8.390538278702934</v>
      </c>
      <c r="N8" s="24">
        <v>673020248</v>
      </c>
      <c r="O8" s="62">
        <f t="shared" si="5"/>
        <v>2.1226484027701673</v>
      </c>
      <c r="P8" s="24">
        <f>P18+P19</f>
        <v>5310372867</v>
      </c>
      <c r="Q8" s="62">
        <f t="shared" si="6"/>
        <v>6.265973484667526</v>
      </c>
      <c r="R8" s="24">
        <v>990557218</v>
      </c>
      <c r="S8" s="62">
        <f t="shared" si="7"/>
        <v>18.55968058848434</v>
      </c>
    </row>
    <row r="9" spans="1:19" ht="12.75">
      <c r="A9" s="24" t="s">
        <v>81</v>
      </c>
      <c r="B9" s="24">
        <f>B20+B21</f>
        <v>4599670335</v>
      </c>
      <c r="C9" s="62">
        <f t="shared" si="0"/>
        <v>-0.8125818132873803</v>
      </c>
      <c r="D9" s="24">
        <f aca="true" t="shared" si="8" ref="D9:R9">D20+D21</f>
        <v>1254149651</v>
      </c>
      <c r="E9" s="62">
        <f>D9/D8*100-100</f>
        <v>2.27842743216047</v>
      </c>
      <c r="F9" s="24">
        <f t="shared" si="8"/>
        <v>1187182232</v>
      </c>
      <c r="G9" s="62">
        <f t="shared" si="1"/>
        <v>-4.591212690565456</v>
      </c>
      <c r="H9" s="24">
        <f t="shared" si="8"/>
        <v>519027984</v>
      </c>
      <c r="I9" s="62">
        <f t="shared" si="2"/>
        <v>8.68964854408192</v>
      </c>
      <c r="J9" s="24">
        <f t="shared" si="8"/>
        <v>372817404</v>
      </c>
      <c r="K9" s="62">
        <f t="shared" si="3"/>
        <v>-2.8645061104101757</v>
      </c>
      <c r="L9" s="24">
        <f t="shared" si="8"/>
        <v>335175715</v>
      </c>
      <c r="M9" s="62">
        <f t="shared" si="4"/>
        <v>4.898008776368215</v>
      </c>
      <c r="N9" s="24">
        <f t="shared" si="8"/>
        <v>647610939</v>
      </c>
      <c r="O9" s="62">
        <f t="shared" si="5"/>
        <v>-3.7754152383242996</v>
      </c>
      <c r="P9" s="24">
        <f>P20+P21</f>
        <v>5247281274</v>
      </c>
      <c r="Q9" s="62">
        <f t="shared" si="6"/>
        <v>-1.1880821663591092</v>
      </c>
      <c r="R9" s="24">
        <f t="shared" si="8"/>
        <v>962030541</v>
      </c>
      <c r="S9" s="62">
        <f t="shared" si="7"/>
        <v>-2.879861605329296</v>
      </c>
    </row>
    <row r="10" spans="1:19" ht="12.75">
      <c r="A10" s="24" t="s">
        <v>84</v>
      </c>
      <c r="B10" s="24">
        <f>B22+B23</f>
        <v>4641288015</v>
      </c>
      <c r="C10" s="62">
        <f t="shared" si="0"/>
        <v>0.9047970173714788</v>
      </c>
      <c r="D10" s="24">
        <f aca="true" t="shared" si="9" ref="D10:R10">D22+D23</f>
        <v>1288113663</v>
      </c>
      <c r="E10" s="62">
        <f>D10/D9*100-100</f>
        <v>2.708130722112685</v>
      </c>
      <c r="F10" s="24">
        <f t="shared" si="9"/>
        <v>1152498067</v>
      </c>
      <c r="G10" s="62">
        <f t="shared" si="1"/>
        <v>-2.9215535799899044</v>
      </c>
      <c r="H10" s="24">
        <f t="shared" si="9"/>
        <v>537163875</v>
      </c>
      <c r="I10" s="62">
        <f t="shared" si="2"/>
        <v>3.4942029252896845</v>
      </c>
      <c r="J10" s="24">
        <f t="shared" si="9"/>
        <v>377458248</v>
      </c>
      <c r="K10" s="62">
        <f t="shared" si="3"/>
        <v>1.2448034748935726</v>
      </c>
      <c r="L10" s="24">
        <f t="shared" si="9"/>
        <v>346999790</v>
      </c>
      <c r="M10" s="62">
        <f t="shared" si="4"/>
        <v>3.527724256514219</v>
      </c>
      <c r="N10" s="24">
        <f t="shared" si="9"/>
        <v>673010470</v>
      </c>
      <c r="O10" s="62">
        <f t="shared" si="5"/>
        <v>3.9220355108918312</v>
      </c>
      <c r="P10" s="24">
        <f>P22+P23</f>
        <v>5314298485</v>
      </c>
      <c r="Q10" s="62">
        <f t="shared" si="6"/>
        <v>1.2771796955514105</v>
      </c>
      <c r="R10" s="24">
        <f t="shared" si="9"/>
        <v>924473059</v>
      </c>
      <c r="S10" s="62">
        <f t="shared" si="7"/>
        <v>-3.9039802167777538</v>
      </c>
    </row>
    <row r="11" spans="1:19" ht="12.75">
      <c r="A11" s="24" t="s">
        <v>87</v>
      </c>
      <c r="B11" s="24">
        <f>B24+B25</f>
        <v>4979960768</v>
      </c>
      <c r="C11" s="62">
        <f t="shared" si="0"/>
        <v>7.2969561877103075</v>
      </c>
      <c r="D11" s="24">
        <f>D24+D25</f>
        <v>1350227564</v>
      </c>
      <c r="E11" s="62">
        <f>D11/D10*100-100</f>
        <v>4.822082304083125</v>
      </c>
      <c r="F11" s="24">
        <f>F24+F25</f>
        <v>1167288664</v>
      </c>
      <c r="G11" s="62">
        <f t="shared" si="1"/>
        <v>1.2833511329438068</v>
      </c>
      <c r="H11" s="24">
        <f>H24+H25</f>
        <v>649649408</v>
      </c>
      <c r="I11" s="62">
        <f t="shared" si="2"/>
        <v>20.94063622577002</v>
      </c>
      <c r="J11" s="24">
        <f>J24+J25</f>
        <v>410154140</v>
      </c>
      <c r="K11" s="62">
        <f t="shared" si="3"/>
        <v>8.662121485817948</v>
      </c>
      <c r="L11" s="24">
        <f>L24+L25</f>
        <v>375687986</v>
      </c>
      <c r="M11" s="62">
        <f t="shared" si="4"/>
        <v>8.267496646035426</v>
      </c>
      <c r="N11" s="24">
        <f>N24+N25</f>
        <v>743984960</v>
      </c>
      <c r="O11" s="62">
        <f t="shared" si="5"/>
        <v>10.545822563503364</v>
      </c>
      <c r="P11" s="24">
        <f>P24+P25</f>
        <v>5723945728</v>
      </c>
      <c r="Q11" s="62">
        <f t="shared" si="6"/>
        <v>7.70839733891988</v>
      </c>
      <c r="R11" s="24">
        <f>R24+R25</f>
        <v>888106988</v>
      </c>
      <c r="S11" s="62">
        <f t="shared" si="7"/>
        <v>-3.9337080346437716</v>
      </c>
    </row>
    <row r="12" spans="1:19" ht="12.75">
      <c r="A12" s="24" t="s">
        <v>90</v>
      </c>
      <c r="B12" s="24">
        <f>B26+B27</f>
        <v>5197253789</v>
      </c>
      <c r="C12" s="62">
        <f t="shared" si="0"/>
        <v>4.363348048769211</v>
      </c>
      <c r="D12" s="24">
        <f aca="true" t="shared" si="10" ref="C12:R12">D26+D27</f>
        <v>1365230796</v>
      </c>
      <c r="E12" s="62">
        <f>D12/D11*100-100</f>
        <v>1.1111632142624615</v>
      </c>
      <c r="F12" s="24">
        <f t="shared" si="10"/>
        <v>1143555412</v>
      </c>
      <c r="G12" s="62">
        <f t="shared" si="1"/>
        <v>-2.033194764238715</v>
      </c>
      <c r="H12" s="24">
        <f t="shared" si="10"/>
        <v>732672399</v>
      </c>
      <c r="I12" s="62">
        <f t="shared" si="2"/>
        <v>12.779660841313344</v>
      </c>
      <c r="J12" s="24">
        <f t="shared" si="10"/>
        <v>472302687</v>
      </c>
      <c r="K12" s="62">
        <f t="shared" si="3"/>
        <v>15.152485599682123</v>
      </c>
      <c r="L12" s="24">
        <f t="shared" si="10"/>
        <v>380370908</v>
      </c>
      <c r="M12" s="62">
        <f t="shared" si="4"/>
        <v>1.2464923485735255</v>
      </c>
      <c r="N12" s="24">
        <f t="shared" si="10"/>
        <v>829100797</v>
      </c>
      <c r="O12" s="62">
        <f t="shared" si="5"/>
        <v>11.440531943011308</v>
      </c>
      <c r="P12" s="24">
        <f t="shared" si="10"/>
        <v>6026354586</v>
      </c>
      <c r="Q12" s="62">
        <f t="shared" si="6"/>
        <v>5.283223712634054</v>
      </c>
      <c r="R12" s="24">
        <f t="shared" si="10"/>
        <v>847553282</v>
      </c>
      <c r="S12" s="62">
        <f t="shared" si="7"/>
        <v>-4.566308625870192</v>
      </c>
    </row>
    <row r="13" spans="1:19" ht="12.75">
      <c r="A13" s="24"/>
      <c r="B13" s="24"/>
      <c r="C13" s="62"/>
      <c r="D13" s="24"/>
      <c r="E13" s="62"/>
      <c r="F13" s="24"/>
      <c r="G13" s="62"/>
      <c r="H13" s="24"/>
      <c r="I13" s="62"/>
      <c r="J13" s="24"/>
      <c r="K13" s="62"/>
      <c r="L13" s="24"/>
      <c r="M13" s="62"/>
      <c r="N13" s="24"/>
      <c r="O13" s="62"/>
      <c r="P13" s="58"/>
      <c r="Q13" s="62"/>
      <c r="R13" s="24"/>
      <c r="S13" s="62"/>
    </row>
    <row r="14" spans="1:19" ht="12.75">
      <c r="A14" s="33" t="s">
        <v>73</v>
      </c>
      <c r="B14" s="58">
        <v>1961216082</v>
      </c>
      <c r="C14" s="62">
        <f>B14/'Export dal 2006 al 2008'!B13*100-100</f>
        <v>-27.19725623809707</v>
      </c>
      <c r="D14" s="58">
        <v>494163953</v>
      </c>
      <c r="E14" s="62">
        <f>D14/'Export dal 2006 al 2008'!D13*100-100</f>
        <v>-16.6865325278643</v>
      </c>
      <c r="F14" s="58">
        <v>533444809</v>
      </c>
      <c r="G14" s="62">
        <f>F14/'Export dal 2006 al 2008'!F13*100-100</f>
        <v>-20.80970218359785</v>
      </c>
      <c r="H14" s="58">
        <v>172051002</v>
      </c>
      <c r="I14" s="62">
        <f>H14/'Export dal 2006 al 2008'!H13*100-100</f>
        <v>-48.50273694611024</v>
      </c>
      <c r="J14" s="58">
        <v>166348449</v>
      </c>
      <c r="K14" s="62">
        <f>J14/'Export dal 2006 al 2008'!J13*100-100</f>
        <v>-42.74389685552952</v>
      </c>
      <c r="L14" s="58">
        <v>141828600</v>
      </c>
      <c r="M14" s="62">
        <f>L14/'Export dal 2006 al 2008'!L13*100-100</f>
        <v>-20.366777522619174</v>
      </c>
      <c r="N14" s="58">
        <v>307691733</v>
      </c>
      <c r="O14" s="62">
        <f>N14/'Export dal 2006 al 2008'!N13*100-100</f>
        <v>-29.841515592032806</v>
      </c>
      <c r="P14" s="58">
        <f aca="true" t="shared" si="11" ref="P14:P22">B14+N14</f>
        <v>2268907815</v>
      </c>
      <c r="Q14" s="62">
        <f>P14/'Export dal 2006 al 2008'!P13*100-100</f>
        <v>-27.56747332785943</v>
      </c>
      <c r="R14" s="58">
        <v>528045858</v>
      </c>
      <c r="S14" s="62">
        <f>R14/'Export dal 2006 al 2008'!R13*100-100</f>
        <v>-21.423459167496702</v>
      </c>
    </row>
    <row r="15" spans="1:19" ht="12.75">
      <c r="A15" s="33" t="s">
        <v>21</v>
      </c>
      <c r="B15" s="58">
        <v>1839485717</v>
      </c>
      <c r="C15" s="62">
        <f>B15/'Export dal 2006 al 2008'!B14*100-100</f>
        <v>-20.63181383515</v>
      </c>
      <c r="D15" s="58">
        <v>481352267</v>
      </c>
      <c r="E15" s="62">
        <f>D15/'Export dal 2006 al 2008'!D14*100-100</f>
        <v>-17.246184713787926</v>
      </c>
      <c r="F15" s="58">
        <v>460666836</v>
      </c>
      <c r="G15" s="62">
        <f>F15/'Export dal 2006 al 2008'!F14*100-100</f>
        <v>-16.110940671307446</v>
      </c>
      <c r="H15" s="58">
        <v>183775160</v>
      </c>
      <c r="I15" s="62">
        <f>H15/'Export dal 2006 al 2008'!H14*100-100</f>
        <v>-27.316665321961878</v>
      </c>
      <c r="J15" s="58">
        <v>168344686</v>
      </c>
      <c r="K15" s="62">
        <f>J15/'Export dal 2006 al 2008'!J14*100-100</f>
        <v>-31.88169802894251</v>
      </c>
      <c r="L15" s="58">
        <v>127664408</v>
      </c>
      <c r="M15" s="62">
        <f>L15/'Export dal 2006 al 2008'!L14*100-100</f>
        <v>-13.554698343060721</v>
      </c>
      <c r="N15" s="58">
        <v>282610823</v>
      </c>
      <c r="O15" s="62">
        <f>N15/'Export dal 2006 al 2008'!N14*100-100</f>
        <v>-27.937896789509423</v>
      </c>
      <c r="P15" s="58">
        <f t="shared" si="11"/>
        <v>2122096540</v>
      </c>
      <c r="Q15" s="62">
        <f>P15/'Export dal 2006 al 2008'!P14*100-100</f>
        <v>-21.689174428184344</v>
      </c>
      <c r="R15" s="58">
        <v>455671933</v>
      </c>
      <c r="S15" s="62">
        <f>R15/'Export dal 2006 al 2008'!R14*100-100</f>
        <v>-30.328930285251005</v>
      </c>
    </row>
    <row r="16" spans="1:19" ht="12.75">
      <c r="A16" s="33" t="s">
        <v>78</v>
      </c>
      <c r="B16" s="58">
        <v>2163351596</v>
      </c>
      <c r="C16" s="62">
        <f aca="true" t="shared" si="12" ref="C16:C23">B16/B14*100-100</f>
        <v>10.30664167274557</v>
      </c>
      <c r="D16" s="58">
        <v>555663048</v>
      </c>
      <c r="E16" s="62">
        <f aca="true" t="shared" si="13" ref="E16:E23">D16/D14*100-100</f>
        <v>12.445079133483446</v>
      </c>
      <c r="F16" s="58">
        <v>586215420</v>
      </c>
      <c r="G16" s="62">
        <f aca="true" t="shared" si="14" ref="G16:G23">F16/F14*100-100</f>
        <v>9.892421879392586</v>
      </c>
      <c r="H16" s="58">
        <v>205486559</v>
      </c>
      <c r="I16" s="62">
        <f aca="true" t="shared" si="15" ref="I16:I23">H16/H14*100-100</f>
        <v>19.43351483649016</v>
      </c>
      <c r="J16" s="58">
        <v>192124048</v>
      </c>
      <c r="K16" s="62">
        <f aca="true" t="shared" si="16" ref="K16:K23">J16/J14*100-100</f>
        <v>15.494943989528863</v>
      </c>
      <c r="L16" s="58">
        <v>156529982</v>
      </c>
      <c r="M16" s="62">
        <f aca="true" t="shared" si="17" ref="M16:M23">L16/L14*100-100</f>
        <v>10.365597629815142</v>
      </c>
      <c r="N16" s="58">
        <v>318999721</v>
      </c>
      <c r="O16" s="62">
        <f aca="true" t="shared" si="18" ref="O16:O23">N16/N14*100-100</f>
        <v>3.6751029641735755</v>
      </c>
      <c r="P16" s="58">
        <f t="shared" si="11"/>
        <v>2482351317</v>
      </c>
      <c r="Q16" s="62">
        <f aca="true" t="shared" si="19" ref="Q16:Q23">P16/P14*100-100</f>
        <v>9.407323673042228</v>
      </c>
      <c r="R16" s="58">
        <v>400593716</v>
      </c>
      <c r="S16" s="62">
        <f aca="true" t="shared" si="20" ref="S16:S23">R16/R14*100-100</f>
        <v>-24.13656694188103</v>
      </c>
    </row>
    <row r="17" spans="1:19" ht="12.75">
      <c r="A17" s="33" t="s">
        <v>21</v>
      </c>
      <c r="B17" s="58">
        <v>2174863787</v>
      </c>
      <c r="C17" s="62">
        <f t="shared" si="12"/>
        <v>18.23216494156665</v>
      </c>
      <c r="D17" s="58">
        <v>581047050</v>
      </c>
      <c r="E17" s="62">
        <f t="shared" si="13"/>
        <v>20.711397833719985</v>
      </c>
      <c r="F17" s="58">
        <v>546827899</v>
      </c>
      <c r="G17" s="62">
        <f t="shared" si="14"/>
        <v>18.703552386827354</v>
      </c>
      <c r="H17" s="58">
        <v>236871618</v>
      </c>
      <c r="I17" s="62">
        <f t="shared" si="15"/>
        <v>28.892075512272697</v>
      </c>
      <c r="J17" s="58">
        <v>203908384</v>
      </c>
      <c r="K17" s="62">
        <f t="shared" si="16"/>
        <v>21.125524568087656</v>
      </c>
      <c r="L17" s="58">
        <v>138260819</v>
      </c>
      <c r="M17" s="62">
        <f t="shared" si="17"/>
        <v>8.300207682003276</v>
      </c>
      <c r="N17" s="58">
        <v>340031609</v>
      </c>
      <c r="O17" s="62">
        <f t="shared" si="18"/>
        <v>20.317971332612416</v>
      </c>
      <c r="P17" s="58">
        <f t="shared" si="11"/>
        <v>2514895396</v>
      </c>
      <c r="Q17" s="62">
        <f t="shared" si="19"/>
        <v>18.509942813440517</v>
      </c>
      <c r="R17" s="58">
        <v>434898766</v>
      </c>
      <c r="S17" s="62">
        <f t="shared" si="20"/>
        <v>-4.558798884810841</v>
      </c>
    </row>
    <row r="18" spans="1:19" ht="12.75">
      <c r="A18" s="33" t="s">
        <v>80</v>
      </c>
      <c r="B18" s="58">
        <v>2372127800</v>
      </c>
      <c r="C18" s="62">
        <f t="shared" si="12"/>
        <v>9.650590518250638</v>
      </c>
      <c r="D18" s="58">
        <v>604273170</v>
      </c>
      <c r="E18" s="62">
        <f t="shared" si="13"/>
        <v>8.748129315951928</v>
      </c>
      <c r="F18" s="58">
        <v>657047884</v>
      </c>
      <c r="G18" s="62">
        <f t="shared" si="14"/>
        <v>12.083009348338194</v>
      </c>
      <c r="H18" s="58">
        <v>239039100</v>
      </c>
      <c r="I18" s="62">
        <f t="shared" si="15"/>
        <v>16.3283385362446</v>
      </c>
      <c r="J18" s="58">
        <v>200207718</v>
      </c>
      <c r="K18" s="62">
        <f t="shared" si="16"/>
        <v>4.207526378998637</v>
      </c>
      <c r="L18" s="58">
        <v>165661325</v>
      </c>
      <c r="M18" s="62">
        <f t="shared" si="17"/>
        <v>5.833606369417453</v>
      </c>
      <c r="N18" s="58">
        <v>341578451</v>
      </c>
      <c r="O18" s="62">
        <f t="shared" si="18"/>
        <v>7.077977977291084</v>
      </c>
      <c r="P18" s="58">
        <f t="shared" si="11"/>
        <v>2713706251</v>
      </c>
      <c r="Q18" s="62">
        <f t="shared" si="19"/>
        <v>9.3199915908599</v>
      </c>
      <c r="R18" s="58">
        <v>501208932</v>
      </c>
      <c r="S18" s="62">
        <f t="shared" si="20"/>
        <v>25.11652379489648</v>
      </c>
    </row>
    <row r="19" spans="1:19" ht="12.75">
      <c r="A19" s="33" t="s">
        <v>21</v>
      </c>
      <c r="B19" s="58">
        <v>2265224819</v>
      </c>
      <c r="C19" s="62">
        <f t="shared" si="12"/>
        <v>4.154790407570474</v>
      </c>
      <c r="D19" s="58">
        <v>621938146</v>
      </c>
      <c r="E19" s="62">
        <f t="shared" si="13"/>
        <v>7.037484485980954</v>
      </c>
      <c r="F19" s="58">
        <v>587263322</v>
      </c>
      <c r="G19" s="62">
        <f t="shared" si="14"/>
        <v>7.394542793801378</v>
      </c>
      <c r="H19" s="58">
        <v>238493021</v>
      </c>
      <c r="I19" s="62">
        <f t="shared" si="15"/>
        <v>0.6845070818066574</v>
      </c>
      <c r="J19" s="58">
        <v>183603996</v>
      </c>
      <c r="K19" s="62">
        <f t="shared" si="16"/>
        <v>-9.95760331267202</v>
      </c>
      <c r="L19" s="58">
        <v>153864011</v>
      </c>
      <c r="M19" s="62">
        <f t="shared" si="17"/>
        <v>11.285331674478229</v>
      </c>
      <c r="N19" s="58">
        <v>331441797</v>
      </c>
      <c r="O19" s="62">
        <f t="shared" si="18"/>
        <v>-2.526180441065989</v>
      </c>
      <c r="P19" s="58">
        <f t="shared" si="11"/>
        <v>2596666616</v>
      </c>
      <c r="Q19" s="62">
        <f t="shared" si="19"/>
        <v>3.251475991011759</v>
      </c>
      <c r="R19" s="58">
        <v>489348286</v>
      </c>
      <c r="S19" s="62">
        <f t="shared" si="20"/>
        <v>12.520044722315916</v>
      </c>
    </row>
    <row r="20" spans="1:19" ht="12.75">
      <c r="A20" s="33" t="s">
        <v>82</v>
      </c>
      <c r="B20" s="58">
        <v>2383605872</v>
      </c>
      <c r="C20" s="62">
        <f t="shared" si="12"/>
        <v>0.4838724119332767</v>
      </c>
      <c r="D20" s="58">
        <v>623254838</v>
      </c>
      <c r="E20" s="62">
        <f t="shared" si="13"/>
        <v>3.141239582091643</v>
      </c>
      <c r="F20" s="58">
        <v>642417335</v>
      </c>
      <c r="G20" s="62">
        <f t="shared" si="14"/>
        <v>-2.226709705072267</v>
      </c>
      <c r="H20" s="58">
        <v>269558928</v>
      </c>
      <c r="I20" s="62">
        <f t="shared" si="15"/>
        <v>12.767713733861939</v>
      </c>
      <c r="J20" s="58">
        <v>186863940</v>
      </c>
      <c r="K20" s="62">
        <f t="shared" si="16"/>
        <v>-6.664966832097846</v>
      </c>
      <c r="L20" s="58">
        <v>173483611</v>
      </c>
      <c r="M20" s="62">
        <f t="shared" si="17"/>
        <v>4.721854059781293</v>
      </c>
      <c r="N20" s="58">
        <v>338941506</v>
      </c>
      <c r="O20" s="62">
        <f t="shared" si="18"/>
        <v>-0.7719881017904129</v>
      </c>
      <c r="P20" s="58">
        <f>B20+N20</f>
        <v>2722547378</v>
      </c>
      <c r="Q20" s="62">
        <f t="shared" si="19"/>
        <v>0.32579528446537154</v>
      </c>
      <c r="R20" s="58">
        <v>478206213</v>
      </c>
      <c r="S20" s="62">
        <f t="shared" si="20"/>
        <v>-4.5894471409779385</v>
      </c>
    </row>
    <row r="21" spans="1:19" ht="12.75">
      <c r="A21" s="33" t="s">
        <v>21</v>
      </c>
      <c r="B21" s="58">
        <v>2216064463</v>
      </c>
      <c r="C21" s="62">
        <f t="shared" si="12"/>
        <v>-2.1702197321721997</v>
      </c>
      <c r="D21" s="58">
        <v>630894813</v>
      </c>
      <c r="E21" s="62">
        <f t="shared" si="13"/>
        <v>1.4401218284494774</v>
      </c>
      <c r="F21" s="58">
        <v>544764897</v>
      </c>
      <c r="G21" s="62">
        <f t="shared" si="14"/>
        <v>-7.236689813228281</v>
      </c>
      <c r="H21" s="58">
        <v>249469056</v>
      </c>
      <c r="I21" s="62">
        <f t="shared" si="15"/>
        <v>4.602245782278061</v>
      </c>
      <c r="J21" s="58">
        <v>185953464</v>
      </c>
      <c r="K21" s="62">
        <f t="shared" si="16"/>
        <v>1.2796388157042031</v>
      </c>
      <c r="L21" s="58">
        <v>161692104</v>
      </c>
      <c r="M21" s="62">
        <f t="shared" si="17"/>
        <v>5.087669916521278</v>
      </c>
      <c r="N21" s="58">
        <v>308669433</v>
      </c>
      <c r="O21" s="62">
        <f t="shared" si="18"/>
        <v>-6.87069772313599</v>
      </c>
      <c r="P21" s="58">
        <f>B21+N21</f>
        <v>2524733896</v>
      </c>
      <c r="Q21" s="62">
        <f t="shared" si="19"/>
        <v>-2.770194662524986</v>
      </c>
      <c r="R21" s="58">
        <v>483824328</v>
      </c>
      <c r="S21" s="62">
        <f t="shared" si="20"/>
        <v>-1.1288397564756139</v>
      </c>
    </row>
    <row r="22" spans="1:19" ht="12.75">
      <c r="A22" s="33" t="s">
        <v>83</v>
      </c>
      <c r="B22" s="58">
        <v>2355117380</v>
      </c>
      <c r="C22" s="62">
        <f t="shared" si="12"/>
        <v>-1.195184671033573</v>
      </c>
      <c r="D22" s="58">
        <v>628580324</v>
      </c>
      <c r="E22" s="62">
        <f t="shared" si="13"/>
        <v>0.854463643970945</v>
      </c>
      <c r="F22" s="58">
        <v>603038256</v>
      </c>
      <c r="G22" s="62">
        <f t="shared" si="14"/>
        <v>-6.129828205834457</v>
      </c>
      <c r="H22" s="58">
        <v>280395000</v>
      </c>
      <c r="I22" s="62">
        <f t="shared" si="15"/>
        <v>4.019926952669877</v>
      </c>
      <c r="J22" s="58">
        <v>188791707</v>
      </c>
      <c r="K22" s="62">
        <f t="shared" si="16"/>
        <v>1.0316420599929472</v>
      </c>
      <c r="L22" s="58">
        <v>181233732</v>
      </c>
      <c r="M22" s="62">
        <f t="shared" si="17"/>
        <v>4.467350521081784</v>
      </c>
      <c r="N22" s="58">
        <v>324834823</v>
      </c>
      <c r="O22" s="62">
        <f t="shared" si="18"/>
        <v>-4.161981566223403</v>
      </c>
      <c r="P22" s="58">
        <f t="shared" si="11"/>
        <v>2679952203</v>
      </c>
      <c r="Q22" s="62">
        <f t="shared" si="19"/>
        <v>-1.5645338385732828</v>
      </c>
      <c r="R22" s="58">
        <v>468235749</v>
      </c>
      <c r="S22" s="62">
        <f t="shared" si="20"/>
        <v>-2.084971656359471</v>
      </c>
    </row>
    <row r="23" spans="1:19" ht="12.75">
      <c r="A23" s="33" t="s">
        <v>21</v>
      </c>
      <c r="B23" s="58">
        <v>2286170635</v>
      </c>
      <c r="C23" s="62">
        <f t="shared" si="12"/>
        <v>3.163543893713893</v>
      </c>
      <c r="D23" s="58">
        <v>659533339</v>
      </c>
      <c r="E23" s="62">
        <f t="shared" si="13"/>
        <v>4.539350365525991</v>
      </c>
      <c r="F23" s="58">
        <v>549459811</v>
      </c>
      <c r="G23" s="62">
        <f t="shared" si="14"/>
        <v>0.8618238851024955</v>
      </c>
      <c r="H23" s="58">
        <v>256768875</v>
      </c>
      <c r="I23" s="62">
        <f t="shared" si="15"/>
        <v>2.926142070301509</v>
      </c>
      <c r="J23" s="58">
        <v>188666541</v>
      </c>
      <c r="K23" s="62">
        <f t="shared" si="16"/>
        <v>1.4590085829215838</v>
      </c>
      <c r="L23" s="58">
        <v>165766058</v>
      </c>
      <c r="M23" s="62">
        <f t="shared" si="17"/>
        <v>2.5195751055351536</v>
      </c>
      <c r="N23" s="58">
        <v>348175647</v>
      </c>
      <c r="O23" s="62">
        <f t="shared" si="18"/>
        <v>12.798874710733017</v>
      </c>
      <c r="P23" s="58">
        <f>B23+N23</f>
        <v>2634346282</v>
      </c>
      <c r="Q23" s="62">
        <f t="shared" si="19"/>
        <v>4.341542139298781</v>
      </c>
      <c r="R23" s="58">
        <v>456237310</v>
      </c>
      <c r="S23" s="62">
        <f t="shared" si="20"/>
        <v>-5.7018666494174255</v>
      </c>
    </row>
    <row r="24" spans="1:19" ht="12.75">
      <c r="A24" s="33" t="s">
        <v>88</v>
      </c>
      <c r="B24" s="58">
        <v>2613354235</v>
      </c>
      <c r="C24" s="62">
        <f>B24/B22*100-100</f>
        <v>10.964925026369613</v>
      </c>
      <c r="D24" s="58">
        <v>705680887</v>
      </c>
      <c r="E24" s="62">
        <f>D24/D22*100-100</f>
        <v>12.265825075364603</v>
      </c>
      <c r="F24" s="58">
        <v>639936791</v>
      </c>
      <c r="G24" s="62">
        <f>F24/F22*100-100</f>
        <v>6.118771841234576</v>
      </c>
      <c r="H24" s="58">
        <v>340656612</v>
      </c>
      <c r="I24" s="62">
        <f>H24/H22*100-100</f>
        <v>21.491685657732845</v>
      </c>
      <c r="J24" s="58">
        <v>201488511</v>
      </c>
      <c r="K24" s="62">
        <f>J24/J22*100-100</f>
        <v>6.725297525913049</v>
      </c>
      <c r="L24" s="58">
        <v>209380365</v>
      </c>
      <c r="M24" s="62">
        <f>L24/L22*100-100</f>
        <v>15.530570765932254</v>
      </c>
      <c r="N24" s="58">
        <v>368954928</v>
      </c>
      <c r="O24" s="62">
        <f>N24/N22*100-100</f>
        <v>13.58231995958144</v>
      </c>
      <c r="P24" s="58">
        <f>B24+N24</f>
        <v>2982309163</v>
      </c>
      <c r="Q24" s="62">
        <f>P24/P22*100-100</f>
        <v>11.282177333667917</v>
      </c>
      <c r="R24" s="58">
        <v>457674474</v>
      </c>
      <c r="S24" s="62">
        <f>R24/R22*100-100</f>
        <v>-2.255546489680782</v>
      </c>
    </row>
    <row r="25" spans="1:19" ht="12.75">
      <c r="A25" s="33" t="s">
        <v>21</v>
      </c>
      <c r="B25" s="58">
        <v>2366606533</v>
      </c>
      <c r="C25" s="62">
        <f>B25/B23*100-100</f>
        <v>3.5183680854163413</v>
      </c>
      <c r="D25" s="58">
        <v>644546677</v>
      </c>
      <c r="E25" s="62">
        <f>D25/D23*100-100</f>
        <v>-2.272313030107483</v>
      </c>
      <c r="F25" s="58">
        <v>527351873</v>
      </c>
      <c r="G25" s="62">
        <f>F25/F23*100-100</f>
        <v>-4.0235768945074</v>
      </c>
      <c r="H25" s="58">
        <v>308992796</v>
      </c>
      <c r="I25" s="62">
        <f>H25/H23*100-100</f>
        <v>20.33888297403648</v>
      </c>
      <c r="J25" s="58">
        <v>208665629</v>
      </c>
      <c r="K25" s="62">
        <f>J25/J23*100-100</f>
        <v>10.600230382132253</v>
      </c>
      <c r="L25" s="58">
        <v>166307621</v>
      </c>
      <c r="M25" s="62">
        <f>L25/L23*100-100</f>
        <v>0.32670319034792783</v>
      </c>
      <c r="N25" s="58">
        <v>375030032</v>
      </c>
      <c r="O25" s="62">
        <f>N25/N23*100-100</f>
        <v>7.712884353453944</v>
      </c>
      <c r="P25" s="58">
        <f>B25+N25</f>
        <v>2741636565</v>
      </c>
      <c r="Q25" s="62">
        <f>P25/P23*100-100</f>
        <v>4.07274790459762</v>
      </c>
      <c r="R25" s="58">
        <v>430432514</v>
      </c>
      <c r="S25" s="62">
        <f>R25/R23*100-100</f>
        <v>-5.656003012993395</v>
      </c>
    </row>
    <row r="26" spans="1:19" ht="12.75">
      <c r="A26" s="33" t="s">
        <v>91</v>
      </c>
      <c r="B26" s="58">
        <v>2615191253</v>
      </c>
      <c r="C26" s="62">
        <f>B26/B24*100-100</f>
        <v>0.07029349390899142</v>
      </c>
      <c r="D26" s="58">
        <v>668600428</v>
      </c>
      <c r="E26" s="62">
        <f>D26/D24*100-100</f>
        <v>-5.254564730757679</v>
      </c>
      <c r="F26" s="58">
        <v>606578490</v>
      </c>
      <c r="G26" s="62">
        <f>F26/F24*100-100</f>
        <v>-5.2127493635539395</v>
      </c>
      <c r="H26" s="58">
        <v>364799147</v>
      </c>
      <c r="I26" s="62">
        <f>H26/H24*100-100</f>
        <v>7.087058976562588</v>
      </c>
      <c r="J26" s="58">
        <v>217610215</v>
      </c>
      <c r="K26" s="62">
        <f>J26/J24*100-100</f>
        <v>8.001301870755299</v>
      </c>
      <c r="L26" s="58">
        <v>203519940</v>
      </c>
      <c r="M26" s="62">
        <f>L26/L24*100-100</f>
        <v>-2.7989372355903583</v>
      </c>
      <c r="N26" s="58">
        <v>390331881</v>
      </c>
      <c r="O26" s="62">
        <f>N26/N24*100-100</f>
        <v>5.793919901240628</v>
      </c>
      <c r="P26" s="58">
        <f>B26+N26</f>
        <v>3005523134</v>
      </c>
      <c r="Q26" s="62">
        <f>P26/P24*100-100</f>
        <v>0.7783891518694332</v>
      </c>
      <c r="R26" s="58">
        <v>418613939</v>
      </c>
      <c r="S26" s="62">
        <f>R26/R24*100-100</f>
        <v>-8.534567081842539</v>
      </c>
    </row>
    <row r="27" spans="1:19" ht="12.75">
      <c r="A27" s="33" t="s">
        <v>21</v>
      </c>
      <c r="B27" s="58">
        <v>2582062536</v>
      </c>
      <c r="C27" s="62">
        <f>B27/B25*100-100</f>
        <v>9.104006094620203</v>
      </c>
      <c r="D27" s="58">
        <v>696630368</v>
      </c>
      <c r="E27" s="62">
        <f>D27/D25*100-100</f>
        <v>8.08067016068101</v>
      </c>
      <c r="F27" s="58">
        <v>536976922</v>
      </c>
      <c r="G27" s="62">
        <f>F27/F25*100-100</f>
        <v>1.825166362877411</v>
      </c>
      <c r="H27" s="58">
        <v>367873252</v>
      </c>
      <c r="I27" s="62">
        <f>H27/H25*100-100</f>
        <v>19.0556080148872</v>
      </c>
      <c r="J27" s="58">
        <v>254692472</v>
      </c>
      <c r="K27" s="62">
        <f>J27/J25*100-100</f>
        <v>22.057702181512596</v>
      </c>
      <c r="L27" s="58">
        <v>176850968</v>
      </c>
      <c r="M27" s="62">
        <f>L27/L25*100-100</f>
        <v>6.339665576720634</v>
      </c>
      <c r="N27" s="58">
        <v>438768916</v>
      </c>
      <c r="O27" s="62">
        <f>N27/N25*100-100</f>
        <v>16.995674629065434</v>
      </c>
      <c r="P27" s="58">
        <f>B27+N27</f>
        <v>3020831452</v>
      </c>
      <c r="Q27" s="62">
        <f>P27/P25*100-100</f>
        <v>10.183511941890089</v>
      </c>
      <c r="R27" s="58">
        <v>428939343</v>
      </c>
      <c r="S27" s="62">
        <f>R27/R25*100-100</f>
        <v>-0.3469001414702575</v>
      </c>
    </row>
    <row r="28" spans="1:19" ht="12.75">
      <c r="A28" s="24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24"/>
    </row>
    <row r="29" spans="1:19" ht="21.75" customHeight="1">
      <c r="A29" s="52" t="s">
        <v>2</v>
      </c>
      <c r="B29" s="59" t="s">
        <v>28</v>
      </c>
      <c r="C29" s="60" t="s">
        <v>4</v>
      </c>
      <c r="D29" s="59" t="s">
        <v>29</v>
      </c>
      <c r="E29" s="60" t="s">
        <v>4</v>
      </c>
      <c r="F29" s="59" t="s">
        <v>30</v>
      </c>
      <c r="G29" s="60" t="s">
        <v>4</v>
      </c>
      <c r="H29" s="59" t="s">
        <v>89</v>
      </c>
      <c r="I29" s="60" t="s">
        <v>4</v>
      </c>
      <c r="J29" s="59" t="s">
        <v>32</v>
      </c>
      <c r="K29" s="60" t="s">
        <v>4</v>
      </c>
      <c r="L29" s="59" t="s">
        <v>33</v>
      </c>
      <c r="M29" s="60" t="s">
        <v>4</v>
      </c>
      <c r="N29" s="59" t="s">
        <v>34</v>
      </c>
      <c r="O29" s="60" t="s">
        <v>4</v>
      </c>
      <c r="P29" s="59" t="s">
        <v>93</v>
      </c>
      <c r="Q29" s="61" t="s">
        <v>4</v>
      </c>
      <c r="R29" s="59" t="s">
        <v>36</v>
      </c>
      <c r="S29" s="57" t="s">
        <v>4</v>
      </c>
    </row>
    <row r="30" spans="1:19" ht="12.75">
      <c r="A30" s="24" t="s">
        <v>75</v>
      </c>
      <c r="B30" s="66">
        <v>274370203</v>
      </c>
      <c r="C30" s="66"/>
      <c r="D30" s="66">
        <v>117639097</v>
      </c>
      <c r="E30" s="66"/>
      <c r="F30" s="66">
        <v>1201170039</v>
      </c>
      <c r="G30" s="66"/>
      <c r="H30" s="66">
        <v>118220810</v>
      </c>
      <c r="I30" s="66"/>
      <c r="J30" s="66">
        <v>365748376</v>
      </c>
      <c r="K30" s="66"/>
      <c r="L30" s="66">
        <v>568754270</v>
      </c>
      <c r="M30" s="66"/>
      <c r="N30" s="66">
        <v>835226552</v>
      </c>
      <c r="O30" s="66"/>
      <c r="P30" s="66">
        <f>35953317+191021177</f>
        <v>226974494</v>
      </c>
      <c r="Q30" s="66"/>
      <c r="R30" s="67">
        <f>P5+R5+B30+D30+F30+H30+J30+L30+N30+P30</f>
        <v>10899043809</v>
      </c>
      <c r="S30" s="65"/>
    </row>
    <row r="31" spans="1:19" ht="12.75">
      <c r="A31" s="24" t="s">
        <v>72</v>
      </c>
      <c r="B31" s="24">
        <f>B39+B40</f>
        <v>226422306</v>
      </c>
      <c r="C31" s="62">
        <f aca="true" t="shared" si="21" ref="C31:C37">B31/B30*100-100</f>
        <v>-17.47562106807932</v>
      </c>
      <c r="D31" s="24">
        <f>D39+D40</f>
        <v>88832196</v>
      </c>
      <c r="E31" s="62">
        <f aca="true" t="shared" si="22" ref="E31:E37">D31/D30*100-100</f>
        <v>-24.487523055366538</v>
      </c>
      <c r="F31" s="24">
        <v>787748931</v>
      </c>
      <c r="G31" s="62">
        <f aca="true" t="shared" si="23" ref="G31:G37">F31/F30*100-100</f>
        <v>-34.41820013627563</v>
      </c>
      <c r="H31" s="24">
        <v>102966676</v>
      </c>
      <c r="I31" s="62">
        <f aca="true" t="shared" si="24" ref="I31:I37">H31/H30*100-100</f>
        <v>-12.903087028417417</v>
      </c>
      <c r="J31" s="24">
        <v>262169881</v>
      </c>
      <c r="K31" s="62">
        <f aca="true" t="shared" si="25" ref="K31:K37">J31/J30*100-100</f>
        <v>-28.319604896892287</v>
      </c>
      <c r="L31" s="24">
        <v>453100124</v>
      </c>
      <c r="M31" s="62">
        <f aca="true" t="shared" si="26" ref="M31:M37">L31/L30*100-100</f>
        <v>-20.334642234861803</v>
      </c>
      <c r="N31" s="24">
        <v>720547394</v>
      </c>
      <c r="O31" s="62">
        <f aca="true" t="shared" si="27" ref="O31:O37">N31/N30*100-100</f>
        <v>-13.730305594978248</v>
      </c>
      <c r="P31" s="24">
        <f>P39+P40</f>
        <v>135248830</v>
      </c>
      <c r="Q31" s="62">
        <f aca="true" t="shared" si="28" ref="Q31:Q37">P31/P30*100-100</f>
        <v>-40.412322276176106</v>
      </c>
      <c r="R31" s="58">
        <f>P6+R6+B31+D31+F31+H31+J31+L31+N31+P31</f>
        <v>8151758484</v>
      </c>
      <c r="S31" s="62">
        <f aca="true" t="shared" si="29" ref="S31:S36">R31/R30*100-100</f>
        <v>-25.206663750919148</v>
      </c>
    </row>
    <row r="32" spans="1:19" ht="12.75">
      <c r="A32" s="24" t="s">
        <v>77</v>
      </c>
      <c r="B32" s="24">
        <f>B42+B41</f>
        <v>242408379</v>
      </c>
      <c r="C32" s="62">
        <f t="shared" si="21"/>
        <v>7.06029069415095</v>
      </c>
      <c r="D32" s="24">
        <f>D42+D41</f>
        <v>97918880</v>
      </c>
      <c r="E32" s="62">
        <f t="shared" si="22"/>
        <v>10.229043532820015</v>
      </c>
      <c r="F32" s="24">
        <f>F42+F41</f>
        <v>990204958</v>
      </c>
      <c r="G32" s="62">
        <f t="shared" si="23"/>
        <v>25.700577815192233</v>
      </c>
      <c r="H32" s="24">
        <f>H42+H41</f>
        <v>132327272</v>
      </c>
      <c r="I32" s="62">
        <f t="shared" si="24"/>
        <v>28.514658470668707</v>
      </c>
      <c r="J32" s="24">
        <f>J42+J41</f>
        <v>424104204</v>
      </c>
      <c r="K32" s="62">
        <f t="shared" si="25"/>
        <v>61.766943777954424</v>
      </c>
      <c r="L32" s="24">
        <f>L42+L41</f>
        <v>519639658</v>
      </c>
      <c r="M32" s="62">
        <f t="shared" si="26"/>
        <v>14.68539302363996</v>
      </c>
      <c r="N32" s="24">
        <f>N42+N41</f>
        <v>910551041</v>
      </c>
      <c r="O32" s="62">
        <f t="shared" si="27"/>
        <v>26.369347607410816</v>
      </c>
      <c r="P32" s="24">
        <f>P42+P41</f>
        <v>152728450</v>
      </c>
      <c r="Q32" s="62">
        <f t="shared" si="28"/>
        <v>12.924045257914614</v>
      </c>
      <c r="R32" s="24">
        <f>R42+R41</f>
        <v>9302622037</v>
      </c>
      <c r="S32" s="62">
        <f t="shared" si="29"/>
        <v>14.117979025738776</v>
      </c>
    </row>
    <row r="33" spans="1:19" ht="12.75">
      <c r="A33" s="24" t="s">
        <v>79</v>
      </c>
      <c r="B33" s="24">
        <v>208497427</v>
      </c>
      <c r="C33" s="62">
        <f t="shared" si="21"/>
        <v>-13.989183104928898</v>
      </c>
      <c r="D33" s="24">
        <v>114344176</v>
      </c>
      <c r="E33" s="62">
        <f t="shared" si="22"/>
        <v>16.77439121035698</v>
      </c>
      <c r="F33" s="24">
        <v>1073330378</v>
      </c>
      <c r="G33" s="62">
        <f t="shared" si="23"/>
        <v>8.394769116072226</v>
      </c>
      <c r="H33" s="24">
        <v>131922398</v>
      </c>
      <c r="I33" s="62">
        <f t="shared" si="24"/>
        <v>-0.30596414018117457</v>
      </c>
      <c r="J33" s="24">
        <v>454887954</v>
      </c>
      <c r="K33" s="62">
        <f t="shared" si="25"/>
        <v>7.2585345086558135</v>
      </c>
      <c r="L33" s="24">
        <v>561237410</v>
      </c>
      <c r="M33" s="62">
        <f t="shared" si="26"/>
        <v>8.005114959874746</v>
      </c>
      <c r="N33" s="24">
        <v>1089642164</v>
      </c>
      <c r="O33" s="62">
        <f t="shared" si="27"/>
        <v>19.668433172435414</v>
      </c>
      <c r="P33" s="24">
        <f>155077246+26653898</f>
        <v>181731144</v>
      </c>
      <c r="Q33" s="62">
        <f t="shared" si="28"/>
        <v>18.989712787630594</v>
      </c>
      <c r="R33" s="58">
        <f>P8+R8+B33+D33+F33+H33+J33+L33+N33+P33</f>
        <v>10116523136</v>
      </c>
      <c r="S33" s="62">
        <f t="shared" si="29"/>
        <v>8.74915798753095</v>
      </c>
    </row>
    <row r="34" spans="1:19" ht="12.75">
      <c r="A34" s="24" t="s">
        <v>81</v>
      </c>
      <c r="B34" s="24">
        <f>B45+B46</f>
        <v>252102259</v>
      </c>
      <c r="C34" s="62">
        <f t="shared" si="21"/>
        <v>20.913846577109084</v>
      </c>
      <c r="D34" s="24">
        <f>D45+D46</f>
        <v>124853609</v>
      </c>
      <c r="E34" s="62">
        <f t="shared" si="22"/>
        <v>9.19105228411459</v>
      </c>
      <c r="F34" s="24">
        <f>F45+F46</f>
        <v>1348730603</v>
      </c>
      <c r="G34" s="62">
        <f t="shared" si="23"/>
        <v>25.658476704364745</v>
      </c>
      <c r="H34" s="24">
        <f>H45+H46</f>
        <v>119655139</v>
      </c>
      <c r="I34" s="62">
        <f t="shared" si="24"/>
        <v>-9.29884476478361</v>
      </c>
      <c r="J34" s="24">
        <f>J45+J46</f>
        <v>482561813</v>
      </c>
      <c r="K34" s="62">
        <f t="shared" si="25"/>
        <v>6.083664945763758</v>
      </c>
      <c r="L34" s="24">
        <f>L45+L46</f>
        <v>512761401</v>
      </c>
      <c r="M34" s="62">
        <f t="shared" si="26"/>
        <v>-8.637344577582596</v>
      </c>
      <c r="N34" s="24">
        <f>N45+N46</f>
        <v>1213409497</v>
      </c>
      <c r="O34" s="62">
        <f t="shared" si="27"/>
        <v>11.35853008345957</v>
      </c>
      <c r="P34" s="24">
        <f>P45+P46</f>
        <v>181840735</v>
      </c>
      <c r="Q34" s="62">
        <f t="shared" si="28"/>
        <v>0.06030391796795698</v>
      </c>
      <c r="R34" s="58">
        <f>R45+R46</f>
        <v>10445226871</v>
      </c>
      <c r="S34" s="62">
        <f t="shared" si="29"/>
        <v>3.249176921568008</v>
      </c>
    </row>
    <row r="35" spans="1:19" ht="12.75">
      <c r="A35" s="24" t="s">
        <v>84</v>
      </c>
      <c r="B35" s="24">
        <f>B47+B48</f>
        <v>281816081</v>
      </c>
      <c r="C35" s="62">
        <f t="shared" si="21"/>
        <v>11.786416400179903</v>
      </c>
      <c r="D35" s="24">
        <f aca="true" t="shared" si="30" ref="D35:R35">D47+D48</f>
        <v>125532032</v>
      </c>
      <c r="E35" s="62">
        <f t="shared" si="22"/>
        <v>0.5433747613975584</v>
      </c>
      <c r="F35" s="24">
        <f t="shared" si="30"/>
        <v>1486874929</v>
      </c>
      <c r="G35" s="62">
        <f t="shared" si="23"/>
        <v>10.242544040501755</v>
      </c>
      <c r="H35" s="24">
        <f t="shared" si="30"/>
        <v>123106818</v>
      </c>
      <c r="I35" s="62">
        <f t="shared" si="24"/>
        <v>2.8846893069924846</v>
      </c>
      <c r="J35" s="24">
        <f t="shared" si="30"/>
        <v>559971003</v>
      </c>
      <c r="K35" s="62">
        <f t="shared" si="25"/>
        <v>16.04130039191476</v>
      </c>
      <c r="L35" s="24">
        <f t="shared" si="30"/>
        <v>552526304</v>
      </c>
      <c r="M35" s="62">
        <f t="shared" si="26"/>
        <v>7.75504999449052</v>
      </c>
      <c r="N35" s="24">
        <f t="shared" si="30"/>
        <v>1159113364</v>
      </c>
      <c r="O35" s="62">
        <f t="shared" si="27"/>
        <v>-4.474675131045231</v>
      </c>
      <c r="P35" s="24">
        <f t="shared" si="30"/>
        <v>192098203</v>
      </c>
      <c r="Q35" s="62">
        <f t="shared" si="28"/>
        <v>5.64090768770815</v>
      </c>
      <c r="R35" s="24">
        <f t="shared" si="30"/>
        <v>10719810278</v>
      </c>
      <c r="S35" s="62">
        <f t="shared" si="29"/>
        <v>2.628793135765676</v>
      </c>
    </row>
    <row r="36" spans="1:19" ht="12.75">
      <c r="A36" s="24" t="s">
        <v>87</v>
      </c>
      <c r="B36" s="24">
        <f>B49+B50</f>
        <v>298857771</v>
      </c>
      <c r="C36" s="62">
        <f t="shared" si="21"/>
        <v>6.047096368500007</v>
      </c>
      <c r="D36" s="24">
        <f aca="true" t="shared" si="31" ref="D36:R36">D49+D50</f>
        <v>118286339</v>
      </c>
      <c r="E36" s="62">
        <f t="shared" si="22"/>
        <v>-5.7719873442341765</v>
      </c>
      <c r="F36" s="24">
        <f t="shared" si="31"/>
        <v>1614356149</v>
      </c>
      <c r="G36" s="62">
        <f t="shared" si="23"/>
        <v>8.573768883556184</v>
      </c>
      <c r="H36" s="24">
        <f t="shared" si="31"/>
        <v>118499450</v>
      </c>
      <c r="I36" s="62">
        <f t="shared" si="24"/>
        <v>-3.7425774419740208</v>
      </c>
      <c r="J36" s="24">
        <f t="shared" si="31"/>
        <v>523258223</v>
      </c>
      <c r="K36" s="62">
        <f t="shared" si="25"/>
        <v>-6.556193053446378</v>
      </c>
      <c r="L36" s="24">
        <f t="shared" si="31"/>
        <v>614070687</v>
      </c>
      <c r="M36" s="62">
        <f t="shared" si="26"/>
        <v>11.138724537538039</v>
      </c>
      <c r="N36" s="24">
        <f t="shared" si="31"/>
        <v>1285390093</v>
      </c>
      <c r="O36" s="62">
        <f t="shared" si="27"/>
        <v>10.894251841272023</v>
      </c>
      <c r="P36" s="24">
        <f t="shared" si="31"/>
        <v>201864590</v>
      </c>
      <c r="Q36" s="62">
        <f t="shared" si="28"/>
        <v>5.084059531780213</v>
      </c>
      <c r="R36" s="24">
        <f t="shared" si="31"/>
        <v>11386636018</v>
      </c>
      <c r="S36" s="62">
        <f t="shared" si="29"/>
        <v>6.220499455746051</v>
      </c>
    </row>
    <row r="37" spans="1:19" ht="12.75">
      <c r="A37" s="24" t="s">
        <v>90</v>
      </c>
      <c r="B37" s="24">
        <f>B51+B52</f>
        <v>257757259</v>
      </c>
      <c r="C37" s="62">
        <f t="shared" si="21"/>
        <v>-13.752532471374153</v>
      </c>
      <c r="D37" s="24">
        <f aca="true" t="shared" si="32" ref="C37:R37">D51+D52</f>
        <v>127954162</v>
      </c>
      <c r="E37" s="62">
        <f t="shared" si="22"/>
        <v>8.173237147867084</v>
      </c>
      <c r="F37" s="24">
        <f t="shared" si="32"/>
        <v>1747017347</v>
      </c>
      <c r="G37" s="62">
        <f t="shared" si="23"/>
        <v>8.217591767601945</v>
      </c>
      <c r="H37" s="24">
        <f t="shared" si="32"/>
        <v>155571370</v>
      </c>
      <c r="I37" s="62">
        <f t="shared" si="24"/>
        <v>31.28446587726779</v>
      </c>
      <c r="J37" s="24">
        <f t="shared" si="32"/>
        <v>489417939</v>
      </c>
      <c r="K37" s="62">
        <f t="shared" si="25"/>
        <v>-6.467224500741381</v>
      </c>
      <c r="L37" s="24">
        <f t="shared" si="32"/>
        <v>593298150</v>
      </c>
      <c r="M37" s="62">
        <f t="shared" si="26"/>
        <v>-3.3827599069225727</v>
      </c>
      <c r="N37" s="24">
        <f t="shared" si="32"/>
        <v>1352277141</v>
      </c>
      <c r="O37" s="62">
        <f t="shared" si="27"/>
        <v>5.203638052312257</v>
      </c>
      <c r="P37" s="24">
        <f t="shared" si="32"/>
        <v>176856891</v>
      </c>
      <c r="Q37" s="62">
        <f t="shared" si="28"/>
        <v>-12.388353499739608</v>
      </c>
      <c r="R37" s="24">
        <f t="shared" si="32"/>
        <v>11774058127</v>
      </c>
      <c r="S37" s="62">
        <f>R37/R36*100-100</f>
        <v>3.4024281481164707</v>
      </c>
    </row>
    <row r="38" spans="1:19" ht="12.75">
      <c r="A38" s="24"/>
      <c r="B38" s="58"/>
      <c r="C38" s="63"/>
      <c r="D38" s="58"/>
      <c r="E38" s="63"/>
      <c r="F38" s="58"/>
      <c r="G38" s="63"/>
      <c r="H38" s="58"/>
      <c r="I38" s="63"/>
      <c r="J38" s="58"/>
      <c r="K38" s="63"/>
      <c r="L38" s="58"/>
      <c r="M38" s="63"/>
      <c r="N38" s="58"/>
      <c r="O38" s="63"/>
      <c r="P38" s="58"/>
      <c r="Q38" s="63"/>
      <c r="R38" s="58"/>
      <c r="S38" s="62"/>
    </row>
    <row r="39" spans="1:19" ht="12.75">
      <c r="A39" s="33" t="s">
        <v>73</v>
      </c>
      <c r="B39" s="24">
        <v>113730933</v>
      </c>
      <c r="C39" s="62">
        <f>B39/'Export dal 2006 al 2008'!B25*100-100</f>
        <v>-19.52223147390147</v>
      </c>
      <c r="D39" s="24">
        <v>39354311</v>
      </c>
      <c r="E39" s="62">
        <f>D39/'Export dal 2006 al 2008'!D25*100-100</f>
        <v>-34.72848098582733</v>
      </c>
      <c r="F39" s="24">
        <v>431759939</v>
      </c>
      <c r="G39" s="62">
        <f>F39/'Export dal 2006 al 2008'!F25*100-100</f>
        <v>-30.331755656754538</v>
      </c>
      <c r="H39" s="24">
        <v>49367268</v>
      </c>
      <c r="I39" s="62">
        <f>H39/'Export dal 2006 al 2008'!H25*100-100</f>
        <v>-21.834237295381442</v>
      </c>
      <c r="J39" s="24">
        <v>129700379</v>
      </c>
      <c r="K39" s="62">
        <f>J39/'Export dal 2006 al 2008'!J25*100-100</f>
        <v>-28.38939880420253</v>
      </c>
      <c r="L39" s="24">
        <v>226239719</v>
      </c>
      <c r="M39" s="62">
        <f>L39/'Export dal 2006 al 2008'!L25*100-100</f>
        <v>-16.383642525317228</v>
      </c>
      <c r="N39" s="24">
        <v>333373802</v>
      </c>
      <c r="O39" s="62">
        <f>N39/'Export dal 2006 al 2008'!N25*100-100</f>
        <v>-18.605088336679955</v>
      </c>
      <c r="P39" s="24">
        <f>11941744+54989964</f>
        <v>66931708</v>
      </c>
      <c r="Q39" s="62">
        <f>P39/'Export dal 2006 al 2008'!P25*100-100</f>
        <v>-42.6807095030749</v>
      </c>
      <c r="R39" s="58">
        <f>P14+R14+B39+D39+F39+H39+J39+L39+N39+P39</f>
        <v>4187411732</v>
      </c>
      <c r="S39" s="62">
        <f>R39/'Export dal 2006 al 2008'!R25*100-100</f>
        <v>-26.108825149267105</v>
      </c>
    </row>
    <row r="40" spans="1:19" ht="12.75">
      <c r="A40" s="33" t="s">
        <v>21</v>
      </c>
      <c r="B40" s="24">
        <v>112691373</v>
      </c>
      <c r="C40" s="62">
        <f>B40/'Export dal 2006 al 2008'!B26*100-100</f>
        <v>-15.636784195743871</v>
      </c>
      <c r="D40" s="24">
        <v>49477885</v>
      </c>
      <c r="E40" s="62">
        <f>D40/'Export dal 2006 al 2008'!D26*100-100</f>
        <v>-15.205774630759166</v>
      </c>
      <c r="F40" s="24">
        <v>355988992</v>
      </c>
      <c r="G40" s="62">
        <f>F40/'Export dal 2006 al 2008'!F26*100-100</f>
        <v>-39.15538333307491</v>
      </c>
      <c r="H40" s="24">
        <v>53599408</v>
      </c>
      <c r="I40" s="62">
        <f>H40/'Export dal 2006 al 2008'!H26*100-100</f>
        <v>-2.8613783756564857</v>
      </c>
      <c r="J40" s="24">
        <v>132469502</v>
      </c>
      <c r="K40" s="62">
        <f>J40/'Export dal 2006 al 2008'!J26*100-100</f>
        <v>-29.13355340549623</v>
      </c>
      <c r="L40" s="24">
        <v>226860405</v>
      </c>
      <c r="M40" s="62">
        <f>L40/'Export dal 2006 al 2008'!L26*100-100</f>
        <v>-24.222721616361</v>
      </c>
      <c r="N40" s="24">
        <v>387173592</v>
      </c>
      <c r="O40" s="62">
        <f>N40/'Export dal 2006 al 2008'!N26*100-100</f>
        <v>-10.011414222317086</v>
      </c>
      <c r="P40" s="64">
        <f>11842096+56475026</f>
        <v>68317122</v>
      </c>
      <c r="Q40" s="62">
        <f>P40/'Export dal 2006 al 2008'!P26*100-100</f>
        <v>-38.40619754963546</v>
      </c>
      <c r="R40" s="58">
        <f>P15+R15+B40+D40+F40+H40+J40+L40+N40+P40</f>
        <v>3964346752</v>
      </c>
      <c r="S40" s="62">
        <f>R40/'Export dal 2006 al 2008'!R26*100-100</f>
        <v>-24.105939257577845</v>
      </c>
    </row>
    <row r="41" spans="1:19" ht="12.75">
      <c r="A41" s="33" t="s">
        <v>78</v>
      </c>
      <c r="B41" s="64">
        <v>109189330</v>
      </c>
      <c r="C41" s="62">
        <f aca="true" t="shared" si="33" ref="C41:C46">B41/B39*100-100</f>
        <v>-3.9932873847082533</v>
      </c>
      <c r="D41" s="64">
        <v>41564642</v>
      </c>
      <c r="E41" s="62">
        <f aca="true" t="shared" si="34" ref="E41:E46">D41/D39*100-100</f>
        <v>5.6164901476740425</v>
      </c>
      <c r="F41" s="24">
        <v>471797166</v>
      </c>
      <c r="G41" s="62">
        <f aca="true" t="shared" si="35" ref="G41:G46">F41/F39*100-100</f>
        <v>9.273029612874751</v>
      </c>
      <c r="H41" s="24">
        <v>66993608</v>
      </c>
      <c r="I41" s="62">
        <f aca="true" t="shared" si="36" ref="I41:I46">H41/H39*100-100</f>
        <v>35.7045076912095</v>
      </c>
      <c r="J41" s="24">
        <v>195004646</v>
      </c>
      <c r="K41" s="62">
        <f aca="true" t="shared" si="37" ref="K41:K46">J41/J39*100-100</f>
        <v>50.350097280748884</v>
      </c>
      <c r="L41" s="24">
        <v>262164691</v>
      </c>
      <c r="M41" s="62">
        <f aca="true" t="shared" si="38" ref="M41:M46">L41/L39*100-100</f>
        <v>15.879162226151806</v>
      </c>
      <c r="N41" s="24">
        <v>410806610</v>
      </c>
      <c r="O41" s="62">
        <f aca="true" t="shared" si="39" ref="O41:O46">N41/N39*100-100</f>
        <v>23.227022500106358</v>
      </c>
      <c r="P41" s="64">
        <f>11671409+53677927</f>
        <v>65349336</v>
      </c>
      <c r="Q41" s="62">
        <f aca="true" t="shared" si="40" ref="Q41:Q46">P41/P39*100-100</f>
        <v>-2.3641590021877334</v>
      </c>
      <c r="R41" s="58">
        <f>P16+R16+B41+D41+F41+H41+J41+L41+N41+P41</f>
        <v>4505815062</v>
      </c>
      <c r="S41" s="62">
        <f aca="true" t="shared" si="41" ref="S41:S46">R41/R39*100-100</f>
        <v>7.603821892334523</v>
      </c>
    </row>
    <row r="42" spans="1:19" ht="12.75">
      <c r="A42" s="33" t="s">
        <v>21</v>
      </c>
      <c r="B42" s="64">
        <v>133219049</v>
      </c>
      <c r="C42" s="62">
        <f t="shared" si="33"/>
        <v>18.215836273465243</v>
      </c>
      <c r="D42" s="64">
        <v>56354238</v>
      </c>
      <c r="E42" s="62">
        <f t="shared" si="34"/>
        <v>13.897831324034968</v>
      </c>
      <c r="F42" s="24">
        <v>518407792</v>
      </c>
      <c r="G42" s="62">
        <f t="shared" si="35"/>
        <v>45.624669203254484</v>
      </c>
      <c r="H42" s="24">
        <v>65333664</v>
      </c>
      <c r="I42" s="62">
        <f t="shared" si="36"/>
        <v>21.89251045459308</v>
      </c>
      <c r="J42" s="24">
        <v>229099558</v>
      </c>
      <c r="K42" s="62">
        <f t="shared" si="37"/>
        <v>72.94513419398226</v>
      </c>
      <c r="L42" s="24">
        <v>257474967</v>
      </c>
      <c r="M42" s="62">
        <f t="shared" si="38"/>
        <v>13.494889952259399</v>
      </c>
      <c r="N42" s="24">
        <v>499744431</v>
      </c>
      <c r="O42" s="62">
        <f t="shared" si="39"/>
        <v>29.075030251546707</v>
      </c>
      <c r="P42" s="64">
        <f>12634124+74744990</f>
        <v>87379114</v>
      </c>
      <c r="Q42" s="62">
        <f t="shared" si="40"/>
        <v>27.902217543648874</v>
      </c>
      <c r="R42" s="58">
        <f>P17+R17+B42+D42+F42+H42+J42+L42+N42+P42</f>
        <v>4796806975</v>
      </c>
      <c r="S42" s="62">
        <f t="shared" si="41"/>
        <v>20.998673301724338</v>
      </c>
    </row>
    <row r="43" spans="1:19" ht="12.75">
      <c r="A43" s="33" t="s">
        <v>80</v>
      </c>
      <c r="B43" s="64">
        <v>94320574</v>
      </c>
      <c r="C43" s="62">
        <f t="shared" si="33"/>
        <v>-13.617407488442325</v>
      </c>
      <c r="D43" s="64">
        <v>51583208</v>
      </c>
      <c r="E43" s="62">
        <f t="shared" si="34"/>
        <v>24.10357822882247</v>
      </c>
      <c r="F43" s="24">
        <v>523328215</v>
      </c>
      <c r="G43" s="62">
        <f t="shared" si="35"/>
        <v>10.922288795605013</v>
      </c>
      <c r="H43" s="24">
        <v>70039301</v>
      </c>
      <c r="I43" s="62">
        <f t="shared" si="36"/>
        <v>4.546244173026182</v>
      </c>
      <c r="J43" s="24">
        <v>214187372</v>
      </c>
      <c r="K43" s="62">
        <f t="shared" si="37"/>
        <v>9.837061010330999</v>
      </c>
      <c r="L43" s="24">
        <v>265383688</v>
      </c>
      <c r="M43" s="62">
        <f t="shared" si="38"/>
        <v>1.2278529910803258</v>
      </c>
      <c r="N43" s="24">
        <v>520976131</v>
      </c>
      <c r="O43" s="62">
        <f t="shared" si="39"/>
        <v>26.817854999947528</v>
      </c>
      <c r="P43" s="64">
        <f>(72377736+13155987)</f>
        <v>85533723</v>
      </c>
      <c r="Q43" s="62">
        <f t="shared" si="40"/>
        <v>30.886904497392294</v>
      </c>
      <c r="R43" s="58">
        <f>P18+R18+B43+D43+F43+H43+J43+L43+N43+P43</f>
        <v>5040267395</v>
      </c>
      <c r="S43" s="62">
        <f t="shared" si="41"/>
        <v>11.861390794915863</v>
      </c>
    </row>
    <row r="44" spans="1:19" ht="12.75">
      <c r="A44" s="33" t="s">
        <v>21</v>
      </c>
      <c r="B44" s="64">
        <v>114176853</v>
      </c>
      <c r="C44" s="62">
        <f t="shared" si="33"/>
        <v>-14.293898765183343</v>
      </c>
      <c r="D44" s="64">
        <v>62760968</v>
      </c>
      <c r="E44" s="62">
        <f t="shared" si="34"/>
        <v>11.368674703755204</v>
      </c>
      <c r="F44" s="24">
        <v>550002163</v>
      </c>
      <c r="G44" s="62">
        <f t="shared" si="35"/>
        <v>6.09450156567091</v>
      </c>
      <c r="H44" s="24">
        <v>61883097</v>
      </c>
      <c r="I44" s="62">
        <f t="shared" si="36"/>
        <v>-5.281453371419673</v>
      </c>
      <c r="J44" s="24">
        <v>240700582</v>
      </c>
      <c r="K44" s="62">
        <f t="shared" si="37"/>
        <v>5.063747875061367</v>
      </c>
      <c r="L44" s="24">
        <v>295853722</v>
      </c>
      <c r="M44" s="62">
        <f t="shared" si="38"/>
        <v>14.90581995103237</v>
      </c>
      <c r="N44" s="24">
        <v>568666033</v>
      </c>
      <c r="O44" s="62">
        <f t="shared" si="39"/>
        <v>13.791369693122206</v>
      </c>
      <c r="P44" s="64">
        <f>(82699510+13497911)</f>
        <v>96197421</v>
      </c>
      <c r="Q44" s="62">
        <f t="shared" si="40"/>
        <v>10.09200779948398</v>
      </c>
      <c r="R44" s="58">
        <f>P19+R19+B44+D44+F44+H44+J44+L44+N44+P44</f>
        <v>5076255741</v>
      </c>
      <c r="S44" s="62">
        <f t="shared" si="41"/>
        <v>5.825724642588952</v>
      </c>
    </row>
    <row r="45" spans="1:19" ht="12.75">
      <c r="A45" s="33" t="s">
        <v>82</v>
      </c>
      <c r="B45" s="64">
        <v>122181053</v>
      </c>
      <c r="C45" s="62">
        <f t="shared" si="33"/>
        <v>29.53807193751811</v>
      </c>
      <c r="D45" s="64">
        <v>61854844</v>
      </c>
      <c r="E45" s="62">
        <f t="shared" si="34"/>
        <v>19.91275145198415</v>
      </c>
      <c r="F45" s="24">
        <v>619786646</v>
      </c>
      <c r="G45" s="62">
        <f t="shared" si="35"/>
        <v>18.431727591832598</v>
      </c>
      <c r="H45" s="24">
        <v>61248075</v>
      </c>
      <c r="I45" s="62">
        <f t="shared" si="36"/>
        <v>-12.551847140793143</v>
      </c>
      <c r="J45" s="24">
        <v>219037868</v>
      </c>
      <c r="K45" s="62">
        <f t="shared" si="37"/>
        <v>2.2646040962676324</v>
      </c>
      <c r="L45" s="24">
        <v>254296925</v>
      </c>
      <c r="M45" s="62">
        <f t="shared" si="38"/>
        <v>-4.1776354392964805</v>
      </c>
      <c r="N45" s="24">
        <v>610754998</v>
      </c>
      <c r="O45" s="62">
        <f t="shared" si="39"/>
        <v>17.23281771617286</v>
      </c>
      <c r="P45" s="64">
        <f>74571935+12867623</f>
        <v>87439558</v>
      </c>
      <c r="Q45" s="62">
        <f t="shared" si="40"/>
        <v>2.2281679472785356</v>
      </c>
      <c r="R45" s="58">
        <f>P20+R20+B45+D45+F45+H45+J45+L45+N45+P45</f>
        <v>5237353558</v>
      </c>
      <c r="S45" s="62">
        <f t="shared" si="41"/>
        <v>3.910232286396379</v>
      </c>
    </row>
    <row r="46" spans="1:19" ht="12.75">
      <c r="A46" s="33" t="s">
        <v>21</v>
      </c>
      <c r="B46" s="64">
        <v>129921206</v>
      </c>
      <c r="C46" s="62">
        <f t="shared" si="33"/>
        <v>13.789443820105987</v>
      </c>
      <c r="D46" s="64">
        <v>62998765</v>
      </c>
      <c r="E46" s="62">
        <f t="shared" si="34"/>
        <v>0.3788931362562806</v>
      </c>
      <c r="F46" s="24">
        <v>728943957</v>
      </c>
      <c r="G46" s="62">
        <f t="shared" si="35"/>
        <v>32.534743686089826</v>
      </c>
      <c r="H46" s="24">
        <v>58407064</v>
      </c>
      <c r="I46" s="62">
        <f t="shared" si="36"/>
        <v>-5.617096054517106</v>
      </c>
      <c r="J46" s="24">
        <v>263523945</v>
      </c>
      <c r="K46" s="62">
        <f t="shared" si="37"/>
        <v>9.482055593866406</v>
      </c>
      <c r="L46" s="24">
        <v>258464476</v>
      </c>
      <c r="M46" s="62">
        <f t="shared" si="38"/>
        <v>-12.637747379767632</v>
      </c>
      <c r="N46" s="24">
        <v>602654499</v>
      </c>
      <c r="O46" s="62">
        <f t="shared" si="39"/>
        <v>5.976876413858179</v>
      </c>
      <c r="P46" s="64">
        <f>80933061+13468116</f>
        <v>94401177</v>
      </c>
      <c r="Q46" s="62">
        <f t="shared" si="40"/>
        <v>-1.8672475637366688</v>
      </c>
      <c r="R46" s="58">
        <f>P21+R21+B46+D46+F46+H46+J46+L46+N46+P46</f>
        <v>5207873313</v>
      </c>
      <c r="S46" s="62">
        <f t="shared" si="41"/>
        <v>2.5928081388206863</v>
      </c>
    </row>
    <row r="47" spans="1:19" ht="12.75">
      <c r="A47" s="33" t="s">
        <v>83</v>
      </c>
      <c r="B47" s="64">
        <v>140754539</v>
      </c>
      <c r="C47" s="62">
        <f>B47/B45*100-100</f>
        <v>15.201609041624494</v>
      </c>
      <c r="D47" s="64">
        <v>60514454</v>
      </c>
      <c r="E47" s="62">
        <f>D47/D45*100-100</f>
        <v>-2.1669927742441644</v>
      </c>
      <c r="F47" s="24">
        <v>761306382</v>
      </c>
      <c r="G47" s="62">
        <f>F47/F45*100-100</f>
        <v>22.83362136201947</v>
      </c>
      <c r="H47" s="24">
        <v>66577163</v>
      </c>
      <c r="I47" s="62">
        <f>H47/H45*100-100</f>
        <v>8.70082529124386</v>
      </c>
      <c r="J47" s="24">
        <v>274821935</v>
      </c>
      <c r="K47" s="62">
        <f>J47/J45*100-100</f>
        <v>25.467772997133082</v>
      </c>
      <c r="L47" s="24">
        <v>292462585</v>
      </c>
      <c r="M47" s="62">
        <f>L47/L45*100-100</f>
        <v>15.008305743374592</v>
      </c>
      <c r="N47" s="24">
        <v>575277533</v>
      </c>
      <c r="O47" s="62">
        <f>N47/N45*100-100</f>
        <v>-5.8087883220236876</v>
      </c>
      <c r="P47" s="64">
        <f>73567948+17086004</f>
        <v>90653952</v>
      </c>
      <c r="Q47" s="62">
        <f>P47/P45*100-100</f>
        <v>3.676132489141807</v>
      </c>
      <c r="R47" s="58">
        <f>P22+R22+B47+D47+F47+H47+J47+L47+N47+P47</f>
        <v>5410556495</v>
      </c>
      <c r="S47" s="62">
        <f>R47/R45*100-100</f>
        <v>3.307069784040735</v>
      </c>
    </row>
    <row r="48" spans="1:19" ht="12.75">
      <c r="A48" s="33" t="s">
        <v>21</v>
      </c>
      <c r="B48" s="64">
        <v>141061542</v>
      </c>
      <c r="C48" s="62">
        <f>B48/B46*100-100</f>
        <v>8.574686414163992</v>
      </c>
      <c r="D48" s="64">
        <v>65017578</v>
      </c>
      <c r="E48" s="62">
        <f>D48/D46*100-100</f>
        <v>3.2045278982849794</v>
      </c>
      <c r="F48" s="24">
        <v>725568547</v>
      </c>
      <c r="G48" s="62">
        <f>F48/F46*100-100</f>
        <v>-0.46305480244210173</v>
      </c>
      <c r="H48" s="24">
        <v>56529655</v>
      </c>
      <c r="I48" s="62">
        <f>H48/H46*100-100</f>
        <v>-3.2143526337841593</v>
      </c>
      <c r="J48" s="24">
        <v>285149068</v>
      </c>
      <c r="K48" s="62">
        <f>J48/J46*100-100</f>
        <v>8.206132084126168</v>
      </c>
      <c r="L48" s="24">
        <v>260063719</v>
      </c>
      <c r="M48" s="62">
        <f>L48/L46*100-100</f>
        <v>0.618747699780613</v>
      </c>
      <c r="N48" s="24">
        <v>583835831</v>
      </c>
      <c r="O48" s="62">
        <f>N48/N46*100-100</f>
        <v>-3.122629637914642</v>
      </c>
      <c r="P48" s="64">
        <f>86709587+14734664</f>
        <v>101444251</v>
      </c>
      <c r="Q48" s="62">
        <f>P48/P46*100-100</f>
        <v>7.46079045179701</v>
      </c>
      <c r="R48" s="58">
        <f>P23+R23+B48+D48+F48+H48+J48+L48+N48+P48</f>
        <v>5309253783</v>
      </c>
      <c r="S48" s="62">
        <f>R48/R46*100-100</f>
        <v>1.946676962109123</v>
      </c>
    </row>
    <row r="49" spans="1:19" ht="12.75">
      <c r="A49" s="33" t="s">
        <v>88</v>
      </c>
      <c r="B49" s="64">
        <v>148610687</v>
      </c>
      <c r="C49" s="62">
        <f>B49/B47*100-100</f>
        <v>5.581452687646532</v>
      </c>
      <c r="D49" s="64">
        <v>52062923</v>
      </c>
      <c r="E49" s="62">
        <f>D49/D47*100-100</f>
        <v>-13.96613609039585</v>
      </c>
      <c r="F49" s="24">
        <v>772784756</v>
      </c>
      <c r="G49" s="62">
        <f>F49/F47*100-100</f>
        <v>1.5077207115807454</v>
      </c>
      <c r="H49" s="24">
        <v>59124667</v>
      </c>
      <c r="I49" s="62">
        <f>H49/H47*100-100</f>
        <v>-11.193772254909689</v>
      </c>
      <c r="J49" s="24">
        <v>270647395</v>
      </c>
      <c r="K49" s="62">
        <f>J49/J47*100-100</f>
        <v>-1.5189981105401955</v>
      </c>
      <c r="L49" s="24">
        <v>311659160</v>
      </c>
      <c r="M49" s="62">
        <f>L49/L47*100-100</f>
        <v>6.5637712256424265</v>
      </c>
      <c r="N49" s="24">
        <v>603877658</v>
      </c>
      <c r="O49" s="62">
        <f>N49/N47*100-100</f>
        <v>4.97153519117181</v>
      </c>
      <c r="P49" s="64">
        <f>80098253+15086988</f>
        <v>95185241</v>
      </c>
      <c r="Q49" s="62">
        <f>P49/P47*100-100</f>
        <v>4.998446179158293</v>
      </c>
      <c r="R49" s="58">
        <f>P24+R24+B49+D49+F49+H49+J49+L49+N49+P49</f>
        <v>5753936124</v>
      </c>
      <c r="S49" s="62">
        <f>R49/R47*100-100</f>
        <v>6.346475252912029</v>
      </c>
    </row>
    <row r="50" spans="1:19" ht="12.75">
      <c r="A50" s="33" t="s">
        <v>21</v>
      </c>
      <c r="B50" s="64">
        <v>150247084</v>
      </c>
      <c r="C50" s="62">
        <f>B50/B48*100-100</f>
        <v>6.511726633471795</v>
      </c>
      <c r="D50" s="64">
        <v>66223416</v>
      </c>
      <c r="E50" s="62">
        <f>D50/D48*100-100</f>
        <v>1.8546338345608575</v>
      </c>
      <c r="F50" s="24">
        <v>841571393</v>
      </c>
      <c r="G50" s="62">
        <f>F50/F48*100-100</f>
        <v>15.98785483186056</v>
      </c>
      <c r="H50" s="24">
        <v>59374783</v>
      </c>
      <c r="I50" s="62">
        <f>H50/H48*100-100</f>
        <v>5.0329831307125374</v>
      </c>
      <c r="J50" s="24">
        <v>252610828</v>
      </c>
      <c r="K50" s="62">
        <f>J50/J48*100-100</f>
        <v>-11.410957864326605</v>
      </c>
      <c r="L50" s="24">
        <v>302411527</v>
      </c>
      <c r="M50" s="62">
        <f>L50/L48*100-100</f>
        <v>16.28362778277426</v>
      </c>
      <c r="N50" s="24">
        <v>681512435</v>
      </c>
      <c r="O50" s="62">
        <f>N50/N48*100-100</f>
        <v>16.73014892434719</v>
      </c>
      <c r="P50" s="64">
        <f>91809745+14869604</f>
        <v>106679349</v>
      </c>
      <c r="Q50" s="62">
        <f>P50/P48*100-100</f>
        <v>5.160566467191913</v>
      </c>
      <c r="R50" s="58">
        <f>P25+R25+B50+D50+F50+H50+J50+L50+N50+P50</f>
        <v>5632699894</v>
      </c>
      <c r="S50" s="62">
        <f>R50/R48*100-100</f>
        <v>6.0921199893601</v>
      </c>
    </row>
    <row r="51" spans="1:19" ht="12.75">
      <c r="A51" s="33" t="s">
        <v>91</v>
      </c>
      <c r="B51" s="64">
        <v>127713401</v>
      </c>
      <c r="C51" s="62">
        <f>B51/B49*100-100</f>
        <v>-14.061765288791108</v>
      </c>
      <c r="D51" s="64">
        <v>65059623</v>
      </c>
      <c r="E51" s="62">
        <f>D51/D49*100-100</f>
        <v>24.96344663552601</v>
      </c>
      <c r="F51" s="24">
        <v>937730171</v>
      </c>
      <c r="G51" s="62">
        <f>F51/F49*100-100</f>
        <v>21.34428943109225</v>
      </c>
      <c r="H51" s="24">
        <v>81535668</v>
      </c>
      <c r="I51" s="62">
        <f>H51/H49*100-100</f>
        <v>37.90465492177739</v>
      </c>
      <c r="J51" s="24">
        <v>256149925</v>
      </c>
      <c r="K51" s="62">
        <f>J51/J49*100-100</f>
        <v>-5.356589521210793</v>
      </c>
      <c r="L51" s="24">
        <v>290534603</v>
      </c>
      <c r="M51" s="62">
        <f>L51/L49*100-100</f>
        <v>-6.778095981520323</v>
      </c>
      <c r="N51" s="24">
        <v>692851912</v>
      </c>
      <c r="O51" s="62">
        <f>N51/N49*100-100</f>
        <v>14.733821134346385</v>
      </c>
      <c r="P51" s="64">
        <v>86626052</v>
      </c>
      <c r="Q51" s="62">
        <f>P51/P49*100-100</f>
        <v>-8.992138812780865</v>
      </c>
      <c r="R51" s="58">
        <f>P26+R26+B51+D51+F51+H51+J51+L51+N51+P51</f>
        <v>5962338428</v>
      </c>
      <c r="S51" s="62">
        <f>R51/R49*100-100</f>
        <v>3.621908542410509</v>
      </c>
    </row>
    <row r="52" spans="1:19" ht="12.75">
      <c r="A52" s="33" t="s">
        <v>21</v>
      </c>
      <c r="B52" s="64">
        <v>130043858</v>
      </c>
      <c r="C52" s="62">
        <f>B52/B50*100-100</f>
        <v>-13.446667623845528</v>
      </c>
      <c r="D52" s="64">
        <v>62894539</v>
      </c>
      <c r="E52" s="62">
        <f>D52/D50*100-100</f>
        <v>-5.026737068350556</v>
      </c>
      <c r="F52" s="24">
        <v>809287176</v>
      </c>
      <c r="G52" s="62">
        <f>F52/F50*100-100</f>
        <v>-3.836182796674507</v>
      </c>
      <c r="H52" s="24">
        <v>74035702</v>
      </c>
      <c r="I52" s="62">
        <f>H52/H50*100-100</f>
        <v>24.69216434862591</v>
      </c>
      <c r="J52" s="24">
        <v>233268014</v>
      </c>
      <c r="K52" s="62">
        <f>J52/J50*100-100</f>
        <v>-7.657159494366567</v>
      </c>
      <c r="L52" s="24">
        <v>302763547</v>
      </c>
      <c r="M52" s="62">
        <f>L52/L50*100-100</f>
        <v>0.11640429301493782</v>
      </c>
      <c r="N52" s="24">
        <v>659425229</v>
      </c>
      <c r="O52" s="62">
        <f>N52/N50*100-100</f>
        <v>-3.2409101970384455</v>
      </c>
      <c r="P52" s="64">
        <v>90230839</v>
      </c>
      <c r="Q52" s="62">
        <f>P52/P50*100-100</f>
        <v>-15.418644896305096</v>
      </c>
      <c r="R52" s="58">
        <f>P27+R27+B52+D52+F52+H52+J52+L52+N52+P52</f>
        <v>5811719699</v>
      </c>
      <c r="S52" s="62">
        <f>R52/R50*100-100</f>
        <v>3.1782237358445826</v>
      </c>
    </row>
    <row r="53" spans="1:18" ht="12.75">
      <c r="A53" s="33"/>
      <c r="R53" s="69"/>
    </row>
    <row r="54" ht="12.75">
      <c r="A54" s="25" t="s">
        <v>68</v>
      </c>
    </row>
    <row r="55" ht="12.75">
      <c r="A55" s="25" t="s">
        <v>74</v>
      </c>
    </row>
    <row r="56" ht="12.75">
      <c r="A56" s="24" t="s">
        <v>67</v>
      </c>
    </row>
    <row r="57" ht="12.75">
      <c r="A57" s="24" t="s">
        <v>86</v>
      </c>
    </row>
    <row r="58" ht="12.75">
      <c r="A58" s="68" t="s">
        <v>76</v>
      </c>
    </row>
    <row r="59" ht="12.75">
      <c r="A59" s="25" t="s">
        <v>92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38" t="s">
        <v>0</v>
      </c>
      <c r="B1" s="39"/>
      <c r="C1" s="39"/>
      <c r="D1" s="39"/>
      <c r="E1" s="40"/>
      <c r="F1" s="39"/>
      <c r="G1" s="40"/>
      <c r="H1" s="39"/>
      <c r="I1" s="40"/>
      <c r="J1" s="39"/>
      <c r="K1" s="40"/>
      <c r="L1" s="39"/>
      <c r="M1" s="40"/>
      <c r="N1" s="41"/>
    </row>
    <row r="2" spans="1:14" ht="15">
      <c r="A2" s="42" t="s">
        <v>48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4" spans="1:19" ht="22.5">
      <c r="A4" s="52" t="s">
        <v>2</v>
      </c>
      <c r="B4" s="53" t="s">
        <v>54</v>
      </c>
      <c r="C4" s="54" t="s">
        <v>4</v>
      </c>
      <c r="D4" s="53" t="s">
        <v>5</v>
      </c>
      <c r="E4" s="54" t="s">
        <v>4</v>
      </c>
      <c r="F4" s="53" t="s">
        <v>6</v>
      </c>
      <c r="G4" s="54" t="s">
        <v>4</v>
      </c>
      <c r="H4" s="53" t="s">
        <v>7</v>
      </c>
      <c r="I4" s="54" t="s">
        <v>4</v>
      </c>
      <c r="J4" s="53" t="s">
        <v>8</v>
      </c>
      <c r="K4" s="54" t="s">
        <v>4</v>
      </c>
      <c r="L4" s="53" t="s">
        <v>9</v>
      </c>
      <c r="M4" s="54" t="s">
        <v>4</v>
      </c>
      <c r="N4" s="55" t="s">
        <v>64</v>
      </c>
      <c r="O4" s="54" t="s">
        <v>4</v>
      </c>
      <c r="P4" s="53" t="s">
        <v>65</v>
      </c>
      <c r="Q4" s="54" t="s">
        <v>4</v>
      </c>
      <c r="R4" s="56" t="s">
        <v>55</v>
      </c>
      <c r="S4" s="54" t="s">
        <v>4</v>
      </c>
    </row>
    <row r="5" spans="1:19" ht="12.75">
      <c r="A5" s="24" t="s">
        <v>62</v>
      </c>
      <c r="B5" s="24">
        <f>B9+B10</f>
        <v>4669750322</v>
      </c>
      <c r="C5" s="62"/>
      <c r="D5" s="24">
        <f>D9+D10</f>
        <v>1098579064</v>
      </c>
      <c r="E5" s="62"/>
      <c r="F5" s="24">
        <f>F9+F10</f>
        <v>1150307103</v>
      </c>
      <c r="G5" s="62"/>
      <c r="H5" s="24">
        <f>H9+H10</f>
        <v>567811594</v>
      </c>
      <c r="I5" s="62"/>
      <c r="J5" s="24">
        <f>J9+J10</f>
        <v>586710370</v>
      </c>
      <c r="K5" s="62"/>
      <c r="L5" s="24">
        <f>L9+L10</f>
        <v>260958454</v>
      </c>
      <c r="M5" s="62"/>
      <c r="N5" s="24">
        <f>N9+N10</f>
        <v>599700731</v>
      </c>
      <c r="O5" s="62"/>
      <c r="P5" s="24">
        <f>P9+P10</f>
        <v>5269451053</v>
      </c>
      <c r="Q5" s="62"/>
      <c r="R5" s="24">
        <f>R9+R10</f>
        <v>927640103</v>
      </c>
      <c r="S5" s="62"/>
    </row>
    <row r="6" spans="1:19" ht="12.75">
      <c r="A6" s="24" t="s">
        <v>69</v>
      </c>
      <c r="B6" s="24">
        <f>B11+B12</f>
        <v>4976992254</v>
      </c>
      <c r="C6" s="62">
        <f>B6/B5*100-100</f>
        <v>6.579408122796849</v>
      </c>
      <c r="D6" s="24">
        <f>D11+D12</f>
        <v>1144685910</v>
      </c>
      <c r="E6" s="62">
        <f>D6/D5*100-100</f>
        <v>4.196952910437048</v>
      </c>
      <c r="F6" s="24">
        <f>F11+F12</f>
        <v>1149282925</v>
      </c>
      <c r="G6" s="62">
        <f>F6/F5*100-100</f>
        <v>-0.08903518002530575</v>
      </c>
      <c r="H6" s="24">
        <f>H11+H12</f>
        <v>650273789</v>
      </c>
      <c r="I6" s="62">
        <f>H6/H5*100-100</f>
        <v>14.52280930353811</v>
      </c>
      <c r="J6" s="24">
        <f>J11+J12</f>
        <v>657023901</v>
      </c>
      <c r="K6" s="62">
        <f>J6/J5*100-100</f>
        <v>11.984368198571289</v>
      </c>
      <c r="L6" s="24">
        <f>L11+L12</f>
        <v>289766113</v>
      </c>
      <c r="M6" s="62">
        <f>L6/L5*100-100</f>
        <v>11.039174458015452</v>
      </c>
      <c r="N6" s="24">
        <f>N11+N12</f>
        <v>701199608</v>
      </c>
      <c r="O6" s="62">
        <f>N6/N5*100-100</f>
        <v>16.924921340474413</v>
      </c>
      <c r="P6" s="24">
        <f>P11+P12</f>
        <v>5678191862</v>
      </c>
      <c r="Q6" s="62">
        <f>P6/P5*100-100</f>
        <v>7.756800564022612</v>
      </c>
      <c r="R6" s="24">
        <f>R11+R12</f>
        <v>1125012859</v>
      </c>
      <c r="S6" s="62">
        <f>R6/R5*100-100</f>
        <v>21.276867543963874</v>
      </c>
    </row>
    <row r="7" spans="1:19" ht="12.75">
      <c r="A7" s="24" t="s">
        <v>70</v>
      </c>
      <c r="B7" s="24">
        <f>B13+B14</f>
        <v>5011537882</v>
      </c>
      <c r="C7" s="62">
        <f>B7/B6*100-100</f>
        <v>0.6941065253263332</v>
      </c>
      <c r="D7" s="24">
        <f>D13+D14</f>
        <v>1174805906</v>
      </c>
      <c r="E7" s="62">
        <f>D7/D6*100-100</f>
        <v>2.6312891367729065</v>
      </c>
      <c r="F7" s="24">
        <f>F13+F14</f>
        <v>1222762105</v>
      </c>
      <c r="G7" s="62">
        <f>F7/F6*100-100</f>
        <v>6.39348052612894</v>
      </c>
      <c r="H7" s="24">
        <f>H13+H14</f>
        <v>586940971</v>
      </c>
      <c r="I7" s="62">
        <f>H7/H6*100-100</f>
        <v>-9.739408087998456</v>
      </c>
      <c r="J7" s="24">
        <f>J13+J14</f>
        <v>537669768</v>
      </c>
      <c r="K7" s="62">
        <f>J7/J6*100-100</f>
        <v>-18.16587384695461</v>
      </c>
      <c r="L7" s="24">
        <f>L13+L14</f>
        <v>325784597</v>
      </c>
      <c r="M7" s="62">
        <f>L7/L6*100-100</f>
        <v>12.4301919320704</v>
      </c>
      <c r="N7" s="24">
        <f>N13+N14</f>
        <v>830743438</v>
      </c>
      <c r="O7" s="62">
        <f>N7/N6*100-100</f>
        <v>18.47460102972562</v>
      </c>
      <c r="P7" s="24">
        <f>P13+P14</f>
        <v>5842281320</v>
      </c>
      <c r="Q7" s="62">
        <f>P7/P6*100-100</f>
        <v>2.8898188364879047</v>
      </c>
      <c r="R7" s="24">
        <f>R13+R14</f>
        <v>1326047849</v>
      </c>
      <c r="S7" s="62">
        <f>R7/R6*100-100</f>
        <v>17.869572635702653</v>
      </c>
    </row>
    <row r="8" spans="1:19" ht="12.75">
      <c r="A8" s="24"/>
      <c r="B8" s="24"/>
      <c r="C8" s="62"/>
      <c r="D8" s="24"/>
      <c r="E8" s="62"/>
      <c r="F8" s="24"/>
      <c r="G8" s="62"/>
      <c r="H8" s="24"/>
      <c r="I8" s="62"/>
      <c r="J8" s="24"/>
      <c r="K8" s="62"/>
      <c r="L8" s="24"/>
      <c r="M8" s="62"/>
      <c r="N8" s="24"/>
      <c r="O8" s="62"/>
      <c r="P8" s="24"/>
      <c r="Q8" s="62"/>
      <c r="R8" s="24"/>
      <c r="S8" s="62"/>
    </row>
    <row r="9" spans="1:19" ht="12.75">
      <c r="A9" s="33" t="s">
        <v>61</v>
      </c>
      <c r="B9" s="58">
        <v>2359850216</v>
      </c>
      <c r="C9" s="63"/>
      <c r="D9" s="58">
        <v>519740669</v>
      </c>
      <c r="E9" s="63"/>
      <c r="F9" s="58">
        <v>619715157</v>
      </c>
      <c r="G9" s="63"/>
      <c r="H9" s="58">
        <v>282775254</v>
      </c>
      <c r="I9" s="63"/>
      <c r="J9" s="58">
        <v>297787577</v>
      </c>
      <c r="K9" s="63"/>
      <c r="L9" s="58">
        <v>134824157</v>
      </c>
      <c r="M9" s="63"/>
      <c r="N9" s="58">
        <v>286953195</v>
      </c>
      <c r="O9" s="63"/>
      <c r="P9" s="58">
        <f aca="true" t="shared" si="0" ref="P9:P14">B9+N9</f>
        <v>2646803411</v>
      </c>
      <c r="Q9" s="63"/>
      <c r="R9" s="58">
        <v>467401399</v>
      </c>
      <c r="S9" s="62"/>
    </row>
    <row r="10" spans="1:19" ht="12.75">
      <c r="A10" s="33" t="s">
        <v>21</v>
      </c>
      <c r="B10" s="58">
        <v>2309900106</v>
      </c>
      <c r="C10" s="63"/>
      <c r="D10" s="58">
        <v>578838395</v>
      </c>
      <c r="E10" s="63"/>
      <c r="F10" s="58">
        <v>530591946</v>
      </c>
      <c r="G10" s="63"/>
      <c r="H10" s="58">
        <v>285036340</v>
      </c>
      <c r="I10" s="63"/>
      <c r="J10" s="58">
        <v>288922793</v>
      </c>
      <c r="K10" s="63"/>
      <c r="L10" s="58">
        <v>126134297</v>
      </c>
      <c r="M10" s="63"/>
      <c r="N10" s="58">
        <v>312747536</v>
      </c>
      <c r="O10" s="63"/>
      <c r="P10" s="58">
        <f t="shared" si="0"/>
        <v>2622647642</v>
      </c>
      <c r="Q10" s="63"/>
      <c r="R10" s="58">
        <v>460238704</v>
      </c>
      <c r="S10" s="62"/>
    </row>
    <row r="11" spans="1:19" ht="12.75">
      <c r="A11" s="33" t="s">
        <v>66</v>
      </c>
      <c r="B11" s="58">
        <v>2493339482</v>
      </c>
      <c r="C11" s="63">
        <f>B11/B9*100-100</f>
        <v>5.656683847768406</v>
      </c>
      <c r="D11" s="58">
        <v>565409198</v>
      </c>
      <c r="E11" s="63">
        <f>D11/D9*100-100</f>
        <v>8.786791514288822</v>
      </c>
      <c r="F11" s="58">
        <v>600065133</v>
      </c>
      <c r="G11" s="63">
        <f>F11/F9*100-100</f>
        <v>-3.170815459012573</v>
      </c>
      <c r="H11" s="58">
        <v>310631285</v>
      </c>
      <c r="I11" s="63">
        <f>H11/H9*100-100</f>
        <v>9.850943675573532</v>
      </c>
      <c r="J11" s="58">
        <v>330935088</v>
      </c>
      <c r="K11" s="63">
        <f>J11/J9*100-100</f>
        <v>11.131260522664448</v>
      </c>
      <c r="L11" s="58">
        <v>147985678</v>
      </c>
      <c r="M11" s="63">
        <f>L11/L9*100-100</f>
        <v>9.761990204767244</v>
      </c>
      <c r="N11" s="58">
        <v>342004523</v>
      </c>
      <c r="O11" s="63">
        <f>N11/N9*100-100</f>
        <v>19.18477610956728</v>
      </c>
      <c r="P11" s="58">
        <f t="shared" si="0"/>
        <v>2835344005</v>
      </c>
      <c r="Q11" s="63">
        <f>P11/P9*100-100</f>
        <v>7.12333198666866</v>
      </c>
      <c r="R11" s="58">
        <v>547795503</v>
      </c>
      <c r="S11" s="62">
        <f>R11/R9*100-100</f>
        <v>17.200227507235184</v>
      </c>
    </row>
    <row r="12" spans="1:19" ht="12.75">
      <c r="A12" s="33" t="s">
        <v>21</v>
      </c>
      <c r="B12" s="58">
        <v>2483652772</v>
      </c>
      <c r="C12" s="63">
        <f>B12/B10*100-100</f>
        <v>7.52208571914754</v>
      </c>
      <c r="D12" s="58">
        <v>579276712</v>
      </c>
      <c r="E12" s="63">
        <f>D12/D10*100-100</f>
        <v>0.07572355320348834</v>
      </c>
      <c r="F12" s="58">
        <v>549217792</v>
      </c>
      <c r="G12" s="63">
        <f>F12/F10*100-100</f>
        <v>3.5103898844329535</v>
      </c>
      <c r="H12" s="58">
        <v>339642504</v>
      </c>
      <c r="I12" s="63">
        <f>H12/H10*100-100</f>
        <v>19.15761477992595</v>
      </c>
      <c r="J12" s="58">
        <v>326088813</v>
      </c>
      <c r="K12" s="63">
        <f>J12/J10*100-100</f>
        <v>12.863651086191737</v>
      </c>
      <c r="L12" s="58">
        <v>141780435</v>
      </c>
      <c r="M12" s="63">
        <f>L12/L10*100-100</f>
        <v>12.404348676078158</v>
      </c>
      <c r="N12" s="58">
        <v>359195085</v>
      </c>
      <c r="O12" s="63">
        <f>N12/N10*100-100</f>
        <v>14.851451619430179</v>
      </c>
      <c r="P12" s="58">
        <f t="shared" si="0"/>
        <v>2842847857</v>
      </c>
      <c r="Q12" s="63">
        <f>P12/P10*100-100</f>
        <v>8.396103673007246</v>
      </c>
      <c r="R12" s="58">
        <v>577217356</v>
      </c>
      <c r="S12" s="62">
        <f>R12/R10*100-100</f>
        <v>25.416952330023946</v>
      </c>
    </row>
    <row r="13" spans="1:19" ht="12.75">
      <c r="A13" s="33" t="s">
        <v>71</v>
      </c>
      <c r="B13" s="58">
        <v>2693876605</v>
      </c>
      <c r="C13" s="63">
        <f>B13/B11*100-100</f>
        <v>8.042912906474413</v>
      </c>
      <c r="D13" s="58">
        <v>593138142</v>
      </c>
      <c r="E13" s="63">
        <f>D13/D11*100-100</f>
        <v>4.904225841759285</v>
      </c>
      <c r="F13" s="58">
        <v>673623946</v>
      </c>
      <c r="G13" s="63">
        <f>F13/F11*100-100</f>
        <v>12.258471448298593</v>
      </c>
      <c r="H13" s="58">
        <v>334097371</v>
      </c>
      <c r="I13" s="63">
        <f>H13/H11*100-100</f>
        <v>7.554321516585176</v>
      </c>
      <c r="J13" s="58">
        <v>290534004</v>
      </c>
      <c r="K13" s="63">
        <f>J13/J11*100-100</f>
        <v>-12.208159685986516</v>
      </c>
      <c r="L13" s="58">
        <v>178102299</v>
      </c>
      <c r="M13" s="63">
        <f>L13/L11*100-100</f>
        <v>20.35103761865389</v>
      </c>
      <c r="N13" s="58">
        <v>438566676</v>
      </c>
      <c r="O13" s="63">
        <f>N13/N11*100-100</f>
        <v>28.234174259736335</v>
      </c>
      <c r="P13" s="58">
        <f t="shared" si="0"/>
        <v>3132443281</v>
      </c>
      <c r="Q13" s="63">
        <f>P13/P11*100-100</f>
        <v>10.47842080100611</v>
      </c>
      <c r="R13" s="58">
        <v>672014640</v>
      </c>
      <c r="S13" s="63">
        <f>R13/R11*100-100</f>
        <v>22.67618779630618</v>
      </c>
    </row>
    <row r="14" spans="1:19" ht="12.75">
      <c r="A14" s="33" t="s">
        <v>21</v>
      </c>
      <c r="B14" s="58">
        <v>2317661277</v>
      </c>
      <c r="C14" s="63">
        <f>B14/B12*100-100</f>
        <v>-6.683361574183849</v>
      </c>
      <c r="D14" s="58">
        <v>581667764</v>
      </c>
      <c r="E14" s="63">
        <f>D14/D12*100-100</f>
        <v>0.41276508281245583</v>
      </c>
      <c r="F14" s="58">
        <v>549138159</v>
      </c>
      <c r="G14" s="63">
        <f>F14/F12*100-100</f>
        <v>-0.014499348192998696</v>
      </c>
      <c r="H14" s="58">
        <v>252843600</v>
      </c>
      <c r="I14" s="63">
        <f>H14/H12*100-100</f>
        <v>-25.555960451875606</v>
      </c>
      <c r="J14" s="58">
        <v>247135764</v>
      </c>
      <c r="K14" s="63">
        <f>J14/J12*100-100</f>
        <v>-24.212130515498558</v>
      </c>
      <c r="L14" s="58">
        <v>147682298</v>
      </c>
      <c r="M14" s="63">
        <f>L14/L12*100-100</f>
        <v>4.162678016892812</v>
      </c>
      <c r="N14" s="58">
        <v>392176762</v>
      </c>
      <c r="O14" s="63">
        <f>N14/N12*100-100</f>
        <v>9.182106987906025</v>
      </c>
      <c r="P14" s="58">
        <f t="shared" si="0"/>
        <v>2709838039</v>
      </c>
      <c r="Q14" s="63">
        <f>P14/P12*100-100</f>
        <v>-4.678752599175766</v>
      </c>
      <c r="R14" s="58">
        <v>654033209</v>
      </c>
      <c r="S14" s="63">
        <f>R14/R12*100-100</f>
        <v>13.307959679576925</v>
      </c>
    </row>
    <row r="15" spans="1:19" ht="12.75">
      <c r="A15" s="24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24"/>
    </row>
    <row r="16" spans="1:19" ht="22.5">
      <c r="A16" s="52" t="s">
        <v>2</v>
      </c>
      <c r="B16" s="59" t="s">
        <v>28</v>
      </c>
      <c r="C16" s="60" t="s">
        <v>4</v>
      </c>
      <c r="D16" s="59" t="s">
        <v>29</v>
      </c>
      <c r="E16" s="60" t="s">
        <v>4</v>
      </c>
      <c r="F16" s="59" t="s">
        <v>30</v>
      </c>
      <c r="G16" s="60" t="s">
        <v>4</v>
      </c>
      <c r="H16" s="59" t="s">
        <v>31</v>
      </c>
      <c r="I16" s="60" t="s">
        <v>4</v>
      </c>
      <c r="J16" s="59" t="s">
        <v>32</v>
      </c>
      <c r="K16" s="60" t="s">
        <v>4</v>
      </c>
      <c r="L16" s="59" t="s">
        <v>33</v>
      </c>
      <c r="M16" s="60" t="s">
        <v>4</v>
      </c>
      <c r="N16" s="59" t="s">
        <v>34</v>
      </c>
      <c r="O16" s="60" t="s">
        <v>4</v>
      </c>
      <c r="P16" s="59" t="s">
        <v>45</v>
      </c>
      <c r="Q16" s="61" t="s">
        <v>4</v>
      </c>
      <c r="R16" s="59" t="s">
        <v>36</v>
      </c>
      <c r="S16" s="57" t="s">
        <v>4</v>
      </c>
    </row>
    <row r="17" spans="1:19" ht="12.75">
      <c r="A17" s="24" t="s">
        <v>62</v>
      </c>
      <c r="B17" s="58">
        <f>B21+B22</f>
        <v>180608030</v>
      </c>
      <c r="C17" s="63"/>
      <c r="D17" s="58">
        <f>D21+D22</f>
        <v>91695097</v>
      </c>
      <c r="E17" s="63"/>
      <c r="F17" s="58">
        <f>F21+F22</f>
        <v>1385510543</v>
      </c>
      <c r="G17" s="63"/>
      <c r="H17" s="58">
        <f>H21+H22</f>
        <v>129773917</v>
      </c>
      <c r="I17" s="63"/>
      <c r="J17" s="58">
        <f>J21+J22</f>
        <v>302525580</v>
      </c>
      <c r="K17" s="63"/>
      <c r="L17" s="58">
        <f>L21+L22</f>
        <v>397696867</v>
      </c>
      <c r="M17" s="63"/>
      <c r="N17" s="58">
        <f>N21+N22</f>
        <v>686117229</v>
      </c>
      <c r="O17" s="63"/>
      <c r="P17" s="58">
        <f>P21+P22</f>
        <v>175050455</v>
      </c>
      <c r="Q17" s="63"/>
      <c r="R17" s="58">
        <f>R21+R22</f>
        <v>9546068874</v>
      </c>
      <c r="S17" s="62"/>
    </row>
    <row r="18" spans="1:19" ht="12.75">
      <c r="A18" s="24" t="s">
        <v>69</v>
      </c>
      <c r="B18" s="58">
        <f>B23+B24</f>
        <v>233165083</v>
      </c>
      <c r="C18" s="63">
        <f>B18/B17*100-100</f>
        <v>29.100064376982573</v>
      </c>
      <c r="D18" s="58">
        <f>D23+D24</f>
        <v>107522466</v>
      </c>
      <c r="E18" s="63">
        <f>D18/D17*100-100</f>
        <v>17.260867284976</v>
      </c>
      <c r="F18" s="58">
        <f>F23+F24</f>
        <v>1316853927</v>
      </c>
      <c r="G18" s="63">
        <f>F18/F17*100-100</f>
        <v>-4.9553297408578345</v>
      </c>
      <c r="H18" s="58">
        <f>H23+H24</f>
        <v>133710643</v>
      </c>
      <c r="I18" s="63">
        <f>H18/H17*100-100</f>
        <v>3.033526374949446</v>
      </c>
      <c r="J18" s="58">
        <f>J23+J24</f>
        <v>351340329</v>
      </c>
      <c r="K18" s="63">
        <f>J18/J17*100-100</f>
        <v>16.13574263703586</v>
      </c>
      <c r="L18" s="58">
        <f>L23+L24</f>
        <v>481316224</v>
      </c>
      <c r="M18" s="63">
        <f>L18/L17*100-100</f>
        <v>21.025902876926608</v>
      </c>
      <c r="N18" s="58">
        <f>N23+N24</f>
        <v>757013831</v>
      </c>
      <c r="O18" s="63">
        <f>N18/N17*100-100</f>
        <v>10.333015846771573</v>
      </c>
      <c r="P18" s="58">
        <f>P23+P24</f>
        <v>190576795</v>
      </c>
      <c r="Q18" s="63">
        <f>P18/P17*100-100</f>
        <v>8.869637042645778</v>
      </c>
      <c r="R18" s="58">
        <f>R23+R24</f>
        <v>10374704019</v>
      </c>
      <c r="S18" s="62">
        <f>R18/R17*100-100</f>
        <v>8.680380960343783</v>
      </c>
    </row>
    <row r="19" spans="1:19" ht="12.75">
      <c r="A19" s="24" t="s">
        <v>70</v>
      </c>
      <c r="B19" s="24">
        <f>B25+B26</f>
        <v>274898492</v>
      </c>
      <c r="C19" s="62">
        <f>B19/B18*100-100</f>
        <v>17.89865294710529</v>
      </c>
      <c r="D19" s="24">
        <f>D25+D26</f>
        <v>118643772</v>
      </c>
      <c r="E19" s="62">
        <f>D19/D18*100-100</f>
        <v>10.343239337535294</v>
      </c>
      <c r="F19" s="24">
        <f>F25+F26</f>
        <v>1204815938</v>
      </c>
      <c r="G19" s="62">
        <f>F19/F18*100-100</f>
        <v>-8.508004320208869</v>
      </c>
      <c r="H19" s="24">
        <f>H25+H26</f>
        <v>118335417</v>
      </c>
      <c r="I19" s="62">
        <f>H19/H18*100-100</f>
        <v>-11.498879711467694</v>
      </c>
      <c r="J19" s="24">
        <f>J25+J26</f>
        <v>368047346</v>
      </c>
      <c r="K19" s="62">
        <f>J19/J18*100-100</f>
        <v>4.755223246802402</v>
      </c>
      <c r="L19" s="24">
        <f>L25+L26</f>
        <v>569946607</v>
      </c>
      <c r="M19" s="62">
        <f>L19/L18*100-100</f>
        <v>18.41416901832919</v>
      </c>
      <c r="N19" s="24">
        <f>N25+N26</f>
        <v>839823174</v>
      </c>
      <c r="O19" s="62">
        <f>N19/N18*100-100</f>
        <v>10.93894716436165</v>
      </c>
      <c r="P19" s="24">
        <f>P25+P26</f>
        <v>227685530</v>
      </c>
      <c r="Q19" s="62">
        <f>P19/P18*100-100</f>
        <v>19.47180138064553</v>
      </c>
      <c r="R19" s="24">
        <f>R25+R26</f>
        <v>10890525445</v>
      </c>
      <c r="S19" s="62">
        <f>R19/R18*100-100</f>
        <v>4.971914620940865</v>
      </c>
    </row>
    <row r="20" spans="1:19" ht="12.75">
      <c r="A20" s="24"/>
      <c r="B20" s="58"/>
      <c r="C20" s="63"/>
      <c r="D20" s="58"/>
      <c r="E20" s="63"/>
      <c r="F20" s="58"/>
      <c r="G20" s="63"/>
      <c r="H20" s="58"/>
      <c r="I20" s="63"/>
      <c r="J20" s="58"/>
      <c r="K20" s="63"/>
      <c r="L20" s="58"/>
      <c r="M20" s="63"/>
      <c r="N20" s="58"/>
      <c r="O20" s="63"/>
      <c r="P20" s="58"/>
      <c r="Q20" s="63"/>
      <c r="R20" s="58"/>
      <c r="S20" s="62"/>
    </row>
    <row r="21" spans="1:19" ht="12.75">
      <c r="A21" s="33" t="s">
        <v>61</v>
      </c>
      <c r="B21" s="58">
        <v>86291213</v>
      </c>
      <c r="C21" s="63"/>
      <c r="D21" s="58">
        <v>42330792</v>
      </c>
      <c r="E21" s="63"/>
      <c r="F21" s="58">
        <v>737485170</v>
      </c>
      <c r="G21" s="63"/>
      <c r="H21" s="58">
        <v>70395610</v>
      </c>
      <c r="I21" s="63"/>
      <c r="J21" s="58">
        <v>150044405</v>
      </c>
      <c r="K21" s="63"/>
      <c r="L21" s="58">
        <v>190811145</v>
      </c>
      <c r="M21" s="63"/>
      <c r="N21" s="58">
        <v>354004016</v>
      </c>
      <c r="O21" s="63"/>
      <c r="P21" s="58">
        <f>9196070+78878208</f>
        <v>88074278</v>
      </c>
      <c r="Q21" s="63"/>
      <c r="R21" s="58">
        <f aca="true" t="shared" si="1" ref="R21:R26">B9+N9+R9+B21+D21+F21+H21+J21+L21+N21+P21</f>
        <v>4833641439</v>
      </c>
      <c r="S21" s="62"/>
    </row>
    <row r="22" spans="1:19" ht="12.75">
      <c r="A22" s="33" t="s">
        <v>21</v>
      </c>
      <c r="B22" s="58">
        <v>94316817</v>
      </c>
      <c r="C22" s="63"/>
      <c r="D22" s="58">
        <v>49364305</v>
      </c>
      <c r="E22" s="63"/>
      <c r="F22" s="58">
        <v>648025373</v>
      </c>
      <c r="G22" s="63"/>
      <c r="H22" s="58">
        <v>59378307</v>
      </c>
      <c r="I22" s="63"/>
      <c r="J22" s="58">
        <v>152481175</v>
      </c>
      <c r="K22" s="63"/>
      <c r="L22" s="58">
        <v>206885722</v>
      </c>
      <c r="M22" s="63"/>
      <c r="N22" s="58">
        <v>332113213</v>
      </c>
      <c r="O22" s="63"/>
      <c r="P22" s="58">
        <f>10568452+76407725</f>
        <v>86976177</v>
      </c>
      <c r="Q22" s="63"/>
      <c r="R22" s="58">
        <f t="shared" si="1"/>
        <v>4712427435</v>
      </c>
      <c r="S22" s="62"/>
    </row>
    <row r="23" spans="1:19" ht="12.75">
      <c r="A23" s="33" t="s">
        <v>66</v>
      </c>
      <c r="B23" s="24">
        <v>108258983</v>
      </c>
      <c r="C23" s="62">
        <f>B23/B21*100-100</f>
        <v>25.457713753542905</v>
      </c>
      <c r="D23" s="24">
        <v>49286022</v>
      </c>
      <c r="E23" s="62">
        <f>D23/D21*100-100</f>
        <v>16.430663522666904</v>
      </c>
      <c r="F23" s="24">
        <v>706893266</v>
      </c>
      <c r="G23" s="62">
        <f>F23/F21*100-100</f>
        <v>-4.148138192392395</v>
      </c>
      <c r="H23" s="24">
        <v>65974610</v>
      </c>
      <c r="I23" s="62">
        <f>H23/H21*100-100</f>
        <v>-6.280221167200622</v>
      </c>
      <c r="J23" s="24">
        <v>175728911</v>
      </c>
      <c r="K23" s="62">
        <f>J23/J21*100-100</f>
        <v>17.11793652019213</v>
      </c>
      <c r="L23" s="24">
        <v>225668584</v>
      </c>
      <c r="M23" s="63">
        <f>L23/L21*100-100</f>
        <v>18.268030937081804</v>
      </c>
      <c r="N23" s="24">
        <v>373705865</v>
      </c>
      <c r="O23" s="62">
        <f>N23/N21*100-100</f>
        <v>5.565430930026508</v>
      </c>
      <c r="P23" s="24">
        <f>13221185+78107163</f>
        <v>91328348</v>
      </c>
      <c r="Q23" s="62">
        <f>P23/P21*100-100</f>
        <v>3.6946882493887614</v>
      </c>
      <c r="R23" s="58">
        <f t="shared" si="1"/>
        <v>5179984097</v>
      </c>
      <c r="S23" s="62">
        <f>R23/R21*100-100</f>
        <v>7.165253409273404</v>
      </c>
    </row>
    <row r="24" spans="1:19" ht="12.75">
      <c r="A24" s="33" t="s">
        <v>21</v>
      </c>
      <c r="B24" s="24">
        <v>124906100</v>
      </c>
      <c r="C24" s="62">
        <f>B24/B22*100-100</f>
        <v>32.43248020127737</v>
      </c>
      <c r="D24" s="24">
        <v>58236444</v>
      </c>
      <c r="E24" s="62">
        <f>D24/D22*100-100</f>
        <v>17.97278215504096</v>
      </c>
      <c r="F24" s="24">
        <v>609960661</v>
      </c>
      <c r="G24" s="62">
        <f>F24/F22*100-100</f>
        <v>-5.873953950874082</v>
      </c>
      <c r="H24" s="24">
        <v>67736033</v>
      </c>
      <c r="I24" s="62">
        <f>H24/H22*100-100</f>
        <v>14.075386150703167</v>
      </c>
      <c r="J24" s="24">
        <v>175611418</v>
      </c>
      <c r="K24" s="62">
        <f>J24/J22*100-100</f>
        <v>15.169244990406199</v>
      </c>
      <c r="L24" s="24">
        <v>255647640</v>
      </c>
      <c r="M24" s="63">
        <f>L24/L22*100-100</f>
        <v>23.56949408040832</v>
      </c>
      <c r="N24" s="24">
        <v>383307966</v>
      </c>
      <c r="O24" s="62">
        <f>N24/N22*100-100</f>
        <v>15.414849815083983</v>
      </c>
      <c r="P24" s="24">
        <f>17531507+81716940</f>
        <v>99248447</v>
      </c>
      <c r="Q24" s="62">
        <f>P24/P22*100-100</f>
        <v>14.109921156916343</v>
      </c>
      <c r="R24" s="58">
        <f t="shared" si="1"/>
        <v>5194719922</v>
      </c>
      <c r="S24" s="62">
        <f>R24/R22*100-100</f>
        <v>10.23448092628297</v>
      </c>
    </row>
    <row r="25" spans="1:19" ht="12.75">
      <c r="A25" s="33" t="s">
        <v>71</v>
      </c>
      <c r="B25" s="24">
        <v>141319690</v>
      </c>
      <c r="C25" s="63">
        <f>B25/B23*100-100</f>
        <v>30.538534617492218</v>
      </c>
      <c r="D25" s="24">
        <v>60293236</v>
      </c>
      <c r="E25" s="63">
        <f>D25/D23*100-100</f>
        <v>22.333338243447614</v>
      </c>
      <c r="F25" s="24">
        <v>619737074</v>
      </c>
      <c r="G25" s="63">
        <f>F25/F23*100-100</f>
        <v>-12.329469835407934</v>
      </c>
      <c r="H25" s="24">
        <v>63157150</v>
      </c>
      <c r="I25" s="63">
        <f>H25/H23*100-100</f>
        <v>-4.2705216446145045</v>
      </c>
      <c r="J25" s="24">
        <v>181118964</v>
      </c>
      <c r="K25" s="63">
        <f>J25/J23*100-100</f>
        <v>3.0672545395788546</v>
      </c>
      <c r="L25" s="24">
        <v>270568733</v>
      </c>
      <c r="M25" s="63">
        <f>L25/L23*100-100</f>
        <v>19.896499638602776</v>
      </c>
      <c r="N25" s="24">
        <v>409575728</v>
      </c>
      <c r="O25" s="63">
        <f>N25/N23*100-100</f>
        <v>9.59842120754513</v>
      </c>
      <c r="P25" s="24">
        <f>98242764+18527188</f>
        <v>116769952</v>
      </c>
      <c r="Q25" s="63">
        <f>P25/P23*100-100</f>
        <v>27.857291363684794</v>
      </c>
      <c r="R25" s="58">
        <f t="shared" si="1"/>
        <v>5666998448</v>
      </c>
      <c r="S25" s="63">
        <f>R25/R23*100-100</f>
        <v>9.401850312282917</v>
      </c>
    </row>
    <row r="26" spans="1:19" ht="12.75">
      <c r="A26" s="33" t="s">
        <v>21</v>
      </c>
      <c r="B26" s="24">
        <v>133578802</v>
      </c>
      <c r="C26" s="63">
        <f>B26/B24*100-100</f>
        <v>6.943377465151812</v>
      </c>
      <c r="D26" s="24">
        <v>58350536</v>
      </c>
      <c r="E26" s="63">
        <f>D26/D24*100-100</f>
        <v>0.19591168719024665</v>
      </c>
      <c r="F26" s="24">
        <v>585078864</v>
      </c>
      <c r="G26" s="63">
        <f>F26/F24*100-100</f>
        <v>-4.079246186009371</v>
      </c>
      <c r="H26" s="24">
        <v>55178267</v>
      </c>
      <c r="I26" s="63">
        <f>H26/H24*100-100</f>
        <v>-18.539269933330758</v>
      </c>
      <c r="J26" s="24">
        <v>186928382</v>
      </c>
      <c r="K26" s="63">
        <f>J26/J24*100-100</f>
        <v>6.444321291227212</v>
      </c>
      <c r="L26" s="24">
        <v>299377874</v>
      </c>
      <c r="M26" s="63">
        <f>L26/L24*100-100</f>
        <v>17.105667003223644</v>
      </c>
      <c r="N26" s="24">
        <v>430247446</v>
      </c>
      <c r="O26" s="63">
        <f>N26/N24*100-100</f>
        <v>12.245892119027872</v>
      </c>
      <c r="P26" s="24">
        <v>110915578</v>
      </c>
      <c r="Q26" s="63">
        <f>P26/P24*100-100</f>
        <v>11.755479660049488</v>
      </c>
      <c r="R26" s="58">
        <f t="shared" si="1"/>
        <v>5223526997</v>
      </c>
      <c r="S26" s="63">
        <f>R26/R24*100-100</f>
        <v>0.5545452966193523</v>
      </c>
    </row>
    <row r="27" spans="1:1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12.75">
      <c r="A28" s="25" t="s">
        <v>68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12.75">
      <c r="A29" s="25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2.75">
      <c r="A30" s="24" t="s">
        <v>67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zoomScale="80" zoomScaleNormal="80" zoomScalePageLayoutView="0" workbookViewId="0" topLeftCell="A13">
      <selection activeCell="A1" sqref="A1:N2"/>
    </sheetView>
  </sheetViews>
  <sheetFormatPr defaultColWidth="9.140625" defaultRowHeight="12.75"/>
  <cols>
    <col min="1" max="1" width="13.140625" style="25" customWidth="1"/>
    <col min="2" max="2" width="13.8515625" style="25" customWidth="1"/>
    <col min="3" max="3" width="7.140625" style="25" customWidth="1"/>
    <col min="4" max="4" width="13.8515625" style="25" customWidth="1"/>
    <col min="5" max="5" width="7.140625" style="26" customWidth="1"/>
    <col min="6" max="6" width="13.8515625" style="25" customWidth="1"/>
    <col min="7" max="7" width="7.140625" style="26" customWidth="1"/>
    <col min="8" max="8" width="12.28125" style="25" customWidth="1"/>
    <col min="9" max="9" width="7.140625" style="26" customWidth="1"/>
    <col min="10" max="10" width="12.28125" style="25" customWidth="1"/>
    <col min="11" max="11" width="7.140625" style="26" customWidth="1"/>
    <col min="12" max="12" width="12.28125" style="25" customWidth="1"/>
    <col min="13" max="13" width="7.140625" style="26" customWidth="1"/>
    <col min="14" max="14" width="12.28125" style="25" customWidth="1"/>
    <col min="15" max="15" width="7.140625" style="26" customWidth="1"/>
    <col min="16" max="16" width="12.28125" style="35" customWidth="1"/>
    <col min="17" max="17" width="7.140625" style="36" customWidth="1"/>
    <col min="18" max="18" width="13.00390625" style="25" customWidth="1"/>
    <col min="19" max="19" width="7.140625" style="26" customWidth="1"/>
    <col min="20" max="20" width="13.57421875" style="25" customWidth="1"/>
    <col min="21" max="21" width="7.140625" style="26" customWidth="1"/>
    <col min="22" max="22" width="13.00390625" style="25" customWidth="1"/>
    <col min="23" max="23" width="7.140625" style="26" customWidth="1"/>
    <col min="24" max="24" width="12.28125" style="25" customWidth="1"/>
    <col min="25" max="25" width="7.140625" style="26" customWidth="1"/>
    <col min="26" max="26" width="11.28125" style="25" customWidth="1"/>
    <col min="27" max="27" width="7.140625" style="26" customWidth="1"/>
    <col min="28" max="28" width="13.00390625" style="25" customWidth="1"/>
    <col min="29" max="29" width="7.140625" style="26" customWidth="1"/>
    <col min="30" max="30" width="12.28125" style="25" customWidth="1"/>
    <col min="31" max="31" width="7.140625" style="26" customWidth="1"/>
    <col min="32" max="32" width="13.28125" style="25" customWidth="1"/>
    <col min="33" max="33" width="7.140625" style="26" customWidth="1"/>
    <col min="34" max="34" width="13.00390625" style="25" customWidth="1"/>
    <col min="35" max="35" width="7.140625" style="26" customWidth="1"/>
    <col min="36" max="36" width="14.421875" style="25" customWidth="1"/>
    <col min="37" max="37" width="7.140625" style="26" customWidth="1"/>
    <col min="38" max="16384" width="9.140625" style="25" customWidth="1"/>
  </cols>
  <sheetData>
    <row r="1" spans="1:14" ht="15">
      <c r="A1" s="38" t="s">
        <v>0</v>
      </c>
      <c r="B1" s="39"/>
      <c r="C1" s="39"/>
      <c r="D1" s="39"/>
      <c r="E1" s="40"/>
      <c r="F1" s="39"/>
      <c r="G1" s="40"/>
      <c r="H1" s="39"/>
      <c r="I1" s="40"/>
      <c r="J1" s="39"/>
      <c r="K1" s="40"/>
      <c r="L1" s="39"/>
      <c r="M1" s="40"/>
      <c r="N1" s="41"/>
    </row>
    <row r="2" spans="1:14" ht="15">
      <c r="A2" s="42" t="s">
        <v>48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3" spans="1:37" s="5" customFormat="1" ht="11.25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</row>
    <row r="4" spans="1:19" s="5" customFormat="1" ht="22.5">
      <c r="A4" s="6" t="s">
        <v>2</v>
      </c>
      <c r="B4" s="7" t="s">
        <v>54</v>
      </c>
      <c r="C4" s="8" t="s">
        <v>4</v>
      </c>
      <c r="D4" s="7" t="s">
        <v>5</v>
      </c>
      <c r="E4" s="8" t="s">
        <v>4</v>
      </c>
      <c r="F4" s="7" t="s">
        <v>6</v>
      </c>
      <c r="G4" s="8" t="s">
        <v>4</v>
      </c>
      <c r="H4" s="7" t="s">
        <v>7</v>
      </c>
      <c r="I4" s="8" t="s">
        <v>4</v>
      </c>
      <c r="J4" s="7" t="s">
        <v>8</v>
      </c>
      <c r="K4" s="8" t="s">
        <v>4</v>
      </c>
      <c r="L4" s="7" t="s">
        <v>9</v>
      </c>
      <c r="M4" s="8" t="s">
        <v>4</v>
      </c>
      <c r="N4" s="7" t="s">
        <v>10</v>
      </c>
      <c r="O4" s="8" t="s">
        <v>4</v>
      </c>
      <c r="P4" s="9" t="s">
        <v>11</v>
      </c>
      <c r="Q4" s="8" t="s">
        <v>4</v>
      </c>
      <c r="R4" s="10" t="s">
        <v>12</v>
      </c>
      <c r="S4" s="11" t="s">
        <v>4</v>
      </c>
    </row>
    <row r="5" spans="1:19" s="15" customFormat="1" ht="11.25">
      <c r="A5" s="16" t="s">
        <v>49</v>
      </c>
      <c r="B5" s="13">
        <f>B8+B9</f>
        <v>4040768802</v>
      </c>
      <c r="C5" s="14"/>
      <c r="D5" s="13">
        <f>D8+D9</f>
        <v>1034201804</v>
      </c>
      <c r="E5" s="14"/>
      <c r="F5" s="13">
        <f>F8+F9</f>
        <v>939301120</v>
      </c>
      <c r="G5" s="14"/>
      <c r="H5" s="13">
        <f>H8+H9</f>
        <v>574235270</v>
      </c>
      <c r="I5" s="14"/>
      <c r="J5" s="13">
        <f>J8+J9</f>
        <v>426014742</v>
      </c>
      <c r="K5" s="14"/>
      <c r="L5" s="13">
        <f>L8+L9</f>
        <v>226567738</v>
      </c>
      <c r="M5" s="14"/>
      <c r="N5" s="13">
        <f>N8+N9</f>
        <v>197791736</v>
      </c>
      <c r="O5" s="14"/>
      <c r="P5" s="13">
        <f>P8+P9</f>
        <v>331815429</v>
      </c>
      <c r="Q5" s="14"/>
      <c r="R5" s="13">
        <f>R8+R9</f>
        <v>693496215</v>
      </c>
      <c r="S5" s="14"/>
    </row>
    <row r="6" spans="1:19" s="15" customFormat="1" ht="11.25">
      <c r="A6" s="16" t="s">
        <v>53</v>
      </c>
      <c r="B6" s="13">
        <f>B10+B11</f>
        <v>3949148564</v>
      </c>
      <c r="C6" s="48">
        <f>B6/B5*100-100</f>
        <v>-2.2673961933841014</v>
      </c>
      <c r="D6" s="13">
        <f aca="true" t="shared" si="0" ref="D6:R6">D10+D11</f>
        <v>965006716</v>
      </c>
      <c r="E6" s="48">
        <f>D6/D5*100-100</f>
        <v>-6.69067562369095</v>
      </c>
      <c r="F6" s="13">
        <f t="shared" si="0"/>
        <v>947772844</v>
      </c>
      <c r="G6" s="48">
        <f>F6/F5*100-100</f>
        <v>0.9019178003322139</v>
      </c>
      <c r="H6" s="13">
        <f t="shared" si="0"/>
        <v>522272379</v>
      </c>
      <c r="I6" s="48">
        <f>H6/H5*100-100</f>
        <v>-9.049059456065805</v>
      </c>
      <c r="J6" s="13">
        <f t="shared" si="0"/>
        <v>443510865</v>
      </c>
      <c r="K6" s="48">
        <f>J6/J5*100-100</f>
        <v>4.106929003879415</v>
      </c>
      <c r="L6" s="13">
        <f t="shared" si="0"/>
        <v>257572044</v>
      </c>
      <c r="M6" s="48">
        <f>L6/L5*100-100</f>
        <v>13.684342825543851</v>
      </c>
      <c r="N6" s="13">
        <f t="shared" si="0"/>
        <v>172760445</v>
      </c>
      <c r="O6" s="48">
        <f>N6/N5*100-100</f>
        <v>-12.655377573509952</v>
      </c>
      <c r="P6" s="13">
        <f t="shared" si="0"/>
        <v>497879228</v>
      </c>
      <c r="Q6" s="48">
        <f>P6/P5*100-100</f>
        <v>50.047039554631425</v>
      </c>
      <c r="R6" s="13">
        <f t="shared" si="0"/>
        <v>665926089</v>
      </c>
      <c r="S6" s="48">
        <f>R6/R5*100-100</f>
        <v>-3.9755265282882704</v>
      </c>
    </row>
    <row r="7" spans="2:19" s="15" customFormat="1" ht="11.25">
      <c r="B7" s="17"/>
      <c r="C7" s="14"/>
      <c r="D7" s="13"/>
      <c r="E7" s="14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/>
      <c r="R7" s="13"/>
      <c r="S7" s="14"/>
    </row>
    <row r="8" spans="1:19" s="15" customFormat="1" ht="11.25">
      <c r="A8" s="18" t="s">
        <v>50</v>
      </c>
      <c r="B8" s="17">
        <v>1941206446</v>
      </c>
      <c r="C8" s="14"/>
      <c r="D8" s="17">
        <v>480684975</v>
      </c>
      <c r="E8" s="14"/>
      <c r="F8" s="17">
        <v>480040825</v>
      </c>
      <c r="G8" s="14"/>
      <c r="H8" s="17">
        <v>261364235</v>
      </c>
      <c r="I8" s="47"/>
      <c r="J8" s="17">
        <v>197938020</v>
      </c>
      <c r="K8" s="14"/>
      <c r="L8" s="17">
        <v>117174916</v>
      </c>
      <c r="M8" s="14"/>
      <c r="N8" s="17">
        <v>98880973</v>
      </c>
      <c r="O8" s="14"/>
      <c r="P8" s="17">
        <v>163916076</v>
      </c>
      <c r="Q8" s="14"/>
      <c r="R8" s="17">
        <v>352564208</v>
      </c>
      <c r="S8" s="14"/>
    </row>
    <row r="9" spans="1:19" s="15" customFormat="1" ht="11.25">
      <c r="A9" s="18" t="s">
        <v>21</v>
      </c>
      <c r="B9" s="17">
        <v>2099562356</v>
      </c>
      <c r="C9" s="14"/>
      <c r="D9" s="17">
        <v>553516829</v>
      </c>
      <c r="E9" s="14"/>
      <c r="F9" s="17">
        <v>459260295</v>
      </c>
      <c r="G9" s="14"/>
      <c r="H9" s="17">
        <v>312871035</v>
      </c>
      <c r="I9" s="47"/>
      <c r="J9" s="17">
        <v>228076722</v>
      </c>
      <c r="K9" s="14"/>
      <c r="L9" s="17">
        <v>109392822</v>
      </c>
      <c r="M9" s="14"/>
      <c r="N9" s="17">
        <v>98910763</v>
      </c>
      <c r="O9" s="14"/>
      <c r="P9" s="17">
        <v>167899353</v>
      </c>
      <c r="Q9" s="14"/>
      <c r="R9" s="17">
        <v>340932007</v>
      </c>
      <c r="S9" s="14"/>
    </row>
    <row r="10" spans="1:19" s="15" customFormat="1" ht="11.25">
      <c r="A10" s="18" t="s">
        <v>52</v>
      </c>
      <c r="B10" s="17">
        <v>1926793556</v>
      </c>
      <c r="C10" s="14">
        <f>B10/B8*100-100</f>
        <v>-0.7424707469779293</v>
      </c>
      <c r="D10" s="17">
        <v>464792717</v>
      </c>
      <c r="E10" s="14">
        <f>D10/D8*100-100</f>
        <v>-3.306169076743032</v>
      </c>
      <c r="F10" s="17">
        <v>481170897</v>
      </c>
      <c r="G10" s="14">
        <f>F10/F8*100-100</f>
        <v>0.23541164441587625</v>
      </c>
      <c r="H10" s="17">
        <v>255861501</v>
      </c>
      <c r="I10" s="14">
        <f>H10/H8*100-100</f>
        <v>-2.1053890560045545</v>
      </c>
      <c r="J10" s="17">
        <v>206964577</v>
      </c>
      <c r="K10" s="14">
        <f>J10/J8*100-100</f>
        <v>4.560294682143422</v>
      </c>
      <c r="L10" s="17">
        <v>127383665</v>
      </c>
      <c r="M10" s="14">
        <f>L10/L8*100-100</f>
        <v>8.712401381196642</v>
      </c>
      <c r="N10" s="17">
        <v>86291270</v>
      </c>
      <c r="O10" s="14">
        <f>N10/N8*100-100</f>
        <v>-12.732179526591025</v>
      </c>
      <c r="P10" s="17">
        <v>247416295</v>
      </c>
      <c r="Q10" s="14">
        <f>P10/P8*100-100</f>
        <v>50.94083572376391</v>
      </c>
      <c r="R10" s="17">
        <v>314152452</v>
      </c>
      <c r="S10" s="14">
        <f>R10/R8*100-100</f>
        <v>-10.894967534537713</v>
      </c>
    </row>
    <row r="11" spans="1:19" s="15" customFormat="1" ht="11.25">
      <c r="A11" s="18" t="s">
        <v>21</v>
      </c>
      <c r="B11" s="17">
        <v>2022355008</v>
      </c>
      <c r="C11" s="14">
        <f>B11/B9*100-100</f>
        <v>-3.677306738681125</v>
      </c>
      <c r="D11" s="17">
        <v>500213999</v>
      </c>
      <c r="E11" s="14">
        <f>D11/D9*100-100</f>
        <v>-9.62984812879104</v>
      </c>
      <c r="F11" s="17">
        <v>466601947</v>
      </c>
      <c r="G11" s="14">
        <f>F11/F9*100-100</f>
        <v>1.5985819109400694</v>
      </c>
      <c r="H11" s="17">
        <v>266410878</v>
      </c>
      <c r="I11" s="14">
        <f>H11/H9*100-100</f>
        <v>-14.84961910903641</v>
      </c>
      <c r="J11" s="17">
        <v>236546288</v>
      </c>
      <c r="K11" s="14">
        <f>J11/J9*100-100</f>
        <v>3.7134723463800015</v>
      </c>
      <c r="L11" s="17">
        <v>130188379</v>
      </c>
      <c r="M11" s="14">
        <f>L11/L9*100-100</f>
        <v>19.009983123024284</v>
      </c>
      <c r="N11" s="17">
        <v>86469175</v>
      </c>
      <c r="O11" s="14">
        <f>N11/N9*100-100</f>
        <v>-12.578598751684893</v>
      </c>
      <c r="P11" s="17">
        <v>250462933</v>
      </c>
      <c r="Q11" s="14">
        <f>P11/P9*100-100</f>
        <v>49.1744479801539</v>
      </c>
      <c r="R11" s="17">
        <v>351773637</v>
      </c>
      <c r="S11" s="14">
        <f>R11/R9*100-100</f>
        <v>3.1799977055249116</v>
      </c>
    </row>
    <row r="12" spans="1:19" s="15" customFormat="1" ht="11.25">
      <c r="A12" s="18"/>
      <c r="B12" s="17"/>
      <c r="C12" s="14"/>
      <c r="D12" s="17"/>
      <c r="E12" s="14"/>
      <c r="F12" s="17"/>
      <c r="G12" s="14"/>
      <c r="H12" s="17"/>
      <c r="I12" s="14"/>
      <c r="J12" s="17"/>
      <c r="K12" s="14"/>
      <c r="L12" s="17"/>
      <c r="M12" s="14"/>
      <c r="N12" s="17"/>
      <c r="O12" s="14"/>
      <c r="P12" s="17"/>
      <c r="Q12" s="14"/>
      <c r="R12" s="17"/>
      <c r="S12" s="14"/>
    </row>
    <row r="13" spans="1:19" s="5" customFormat="1" ht="33" customHeight="1">
      <c r="A13" s="6" t="s">
        <v>2</v>
      </c>
      <c r="B13" s="7" t="s">
        <v>54</v>
      </c>
      <c r="C13" s="8" t="s">
        <v>4</v>
      </c>
      <c r="D13" s="7" t="s">
        <v>5</v>
      </c>
      <c r="E13" s="8" t="s">
        <v>4</v>
      </c>
      <c r="F13" s="7" t="s">
        <v>6</v>
      </c>
      <c r="G13" s="8" t="s">
        <v>4</v>
      </c>
      <c r="H13" s="7" t="s">
        <v>7</v>
      </c>
      <c r="I13" s="8" t="s">
        <v>4</v>
      </c>
      <c r="J13" s="7" t="s">
        <v>8</v>
      </c>
      <c r="K13" s="8" t="s">
        <v>4</v>
      </c>
      <c r="L13" s="7" t="s">
        <v>9</v>
      </c>
      <c r="M13" s="8" t="s">
        <v>4</v>
      </c>
      <c r="N13" s="7" t="s">
        <v>10</v>
      </c>
      <c r="O13" s="8" t="s">
        <v>4</v>
      </c>
      <c r="P13" s="51" t="s">
        <v>63</v>
      </c>
      <c r="Q13" s="8" t="s">
        <v>4</v>
      </c>
      <c r="R13" s="10" t="s">
        <v>55</v>
      </c>
      <c r="S13" s="11" t="s">
        <v>4</v>
      </c>
    </row>
    <row r="14" spans="1:19" s="15" customFormat="1" ht="11.25">
      <c r="A14" s="16" t="s">
        <v>56</v>
      </c>
      <c r="B14" s="13">
        <f>B18+B19</f>
        <v>4270190635</v>
      </c>
      <c r="C14" s="48">
        <f>B14/B6*100-100</f>
        <v>8.129399686975177</v>
      </c>
      <c r="D14" s="13">
        <f>D18+D19</f>
        <v>994781581</v>
      </c>
      <c r="E14" s="48">
        <f>D14/D6*100-100</f>
        <v>3.0854567648418225</v>
      </c>
      <c r="F14" s="13">
        <f aca="true" t="shared" si="1" ref="F14:R14">F18+F19</f>
        <v>1057757619</v>
      </c>
      <c r="G14" s="48">
        <f>F14/F6*100-100</f>
        <v>11.604550151048642</v>
      </c>
      <c r="H14" s="13">
        <f t="shared" si="1"/>
        <v>563832967</v>
      </c>
      <c r="I14" s="48">
        <f>H14/H6*100-100</f>
        <v>7.957646176804616</v>
      </c>
      <c r="J14" s="13">
        <f t="shared" si="1"/>
        <v>500045502</v>
      </c>
      <c r="K14" s="48">
        <f>J14/J6*100-100</f>
        <v>12.747069229070632</v>
      </c>
      <c r="L14" s="13">
        <f t="shared" si="1"/>
        <v>246937790</v>
      </c>
      <c r="M14" s="48">
        <f>L14/L6*100-100</f>
        <v>-4.128652253891346</v>
      </c>
      <c r="N14" s="13">
        <f t="shared" si="1"/>
        <v>178516261</v>
      </c>
      <c r="O14" s="48">
        <f>N14/N6*100-100</f>
        <v>3.331674678193835</v>
      </c>
      <c r="P14" s="13">
        <f t="shared" si="1"/>
        <v>362621345</v>
      </c>
      <c r="Q14" s="50" t="s">
        <v>58</v>
      </c>
      <c r="R14" s="13">
        <f t="shared" si="1"/>
        <v>927201052</v>
      </c>
      <c r="S14" s="50" t="s">
        <v>58</v>
      </c>
    </row>
    <row r="15" spans="1:19" s="15" customFormat="1" ht="11.25">
      <c r="A15" s="16" t="s">
        <v>60</v>
      </c>
      <c r="B15" s="13">
        <f>B21+B20</f>
        <v>4298558250</v>
      </c>
      <c r="C15" s="48">
        <f>B15/B14*100-100</f>
        <v>0.6643172969255602</v>
      </c>
      <c r="D15" s="13">
        <f>D21+D20</f>
        <v>971755052</v>
      </c>
      <c r="E15" s="48">
        <f>D15/D14*100-100</f>
        <v>-2.3147321421907208</v>
      </c>
      <c r="F15" s="13">
        <f>F21+F20</f>
        <v>1084189163</v>
      </c>
      <c r="G15" s="48">
        <f>F15/F14*100-100</f>
        <v>2.4988280420034528</v>
      </c>
      <c r="H15" s="13">
        <f>H21+H20</f>
        <v>559745268</v>
      </c>
      <c r="I15" s="48">
        <f>H15/H14*100-100</f>
        <v>-0.7249840359192774</v>
      </c>
      <c r="J15" s="13">
        <f>J21+J20</f>
        <v>528934291</v>
      </c>
      <c r="K15" s="48">
        <f>J15/J14*100-100</f>
        <v>5.777232048774621</v>
      </c>
      <c r="L15" s="13">
        <f>L21+L20</f>
        <v>238099721</v>
      </c>
      <c r="M15" s="48">
        <f>L15/L14*100-100</f>
        <v>-3.579067019268294</v>
      </c>
      <c r="N15" s="13">
        <f>N21+N20</f>
        <v>186074785</v>
      </c>
      <c r="O15" s="48">
        <f>N15/N14*100-100</f>
        <v>4.234081510367275</v>
      </c>
      <c r="P15" s="13">
        <f>P21+P20</f>
        <v>377956189</v>
      </c>
      <c r="Q15" s="48">
        <f>P15/P14*100-100</f>
        <v>4.228886195323113</v>
      </c>
      <c r="R15" s="13">
        <f>R21+R20</f>
        <v>983285127</v>
      </c>
      <c r="S15" s="48">
        <f>R15/R14*100-100</f>
        <v>6.048750147449141</v>
      </c>
    </row>
    <row r="16" spans="1:19" s="15" customFormat="1" ht="11.25">
      <c r="A16" s="16" t="s">
        <v>62</v>
      </c>
      <c r="B16" s="13">
        <f>B22+B23</f>
        <v>4669750322</v>
      </c>
      <c r="C16" s="48">
        <f>B16/B15*100-100</f>
        <v>8.635269092840602</v>
      </c>
      <c r="D16" s="13">
        <f>D22+D23</f>
        <v>1098579064</v>
      </c>
      <c r="E16" s="48">
        <f>D16/D15*100-100</f>
        <v>13.051026772536915</v>
      </c>
      <c r="F16" s="13">
        <f>F22+F23</f>
        <v>1150307103</v>
      </c>
      <c r="G16" s="48">
        <f>F16/F15*100-100</f>
        <v>6.098376764535132</v>
      </c>
      <c r="H16" s="13">
        <f>H22+H23</f>
        <v>567811594</v>
      </c>
      <c r="I16" s="48">
        <f>H16/H15*100-100</f>
        <v>1.4410708694012584</v>
      </c>
      <c r="J16" s="13">
        <f>J22+J23</f>
        <v>586710370</v>
      </c>
      <c r="K16" s="48">
        <f>J16/J15*100-100</f>
        <v>10.923110863311365</v>
      </c>
      <c r="L16" s="13">
        <f>L22+L23</f>
        <v>260958454</v>
      </c>
      <c r="M16" s="48">
        <f>L16/L15*100-100</f>
        <v>9.600487100108793</v>
      </c>
      <c r="N16" s="13">
        <f>N22+N23</f>
        <v>209173055</v>
      </c>
      <c r="O16" s="48">
        <f>N16/N15*100-100</f>
        <v>12.41343366324459</v>
      </c>
      <c r="P16" s="13">
        <f>P22+P23</f>
        <v>433623473</v>
      </c>
      <c r="Q16" s="48">
        <f>P16/P15*100-100</f>
        <v>14.7285017735217</v>
      </c>
      <c r="R16" s="13">
        <f>R22+R23</f>
        <v>1093717361</v>
      </c>
      <c r="S16" s="48">
        <f>R16/R15*100-100</f>
        <v>11.230947257071648</v>
      </c>
    </row>
    <row r="17" spans="1:19" s="15" customFormat="1" ht="11.25">
      <c r="A17" s="18"/>
      <c r="B17" s="17"/>
      <c r="C17" s="48"/>
      <c r="D17" s="17"/>
      <c r="E17" s="14"/>
      <c r="F17" s="17"/>
      <c r="G17" s="14"/>
      <c r="H17" s="17"/>
      <c r="I17" s="14"/>
      <c r="J17" s="17"/>
      <c r="K17" s="14"/>
      <c r="L17" s="17"/>
      <c r="M17" s="14"/>
      <c r="N17" s="17"/>
      <c r="O17" s="14"/>
      <c r="P17" s="17"/>
      <c r="Q17" s="50"/>
      <c r="R17" s="17"/>
      <c r="S17" s="50"/>
    </row>
    <row r="18" spans="1:19" s="15" customFormat="1" ht="11.25">
      <c r="A18" s="18" t="s">
        <v>57</v>
      </c>
      <c r="B18" s="17">
        <v>2201437867</v>
      </c>
      <c r="C18" s="48">
        <f>B18/B10*100-100</f>
        <v>14.253956275946763</v>
      </c>
      <c r="D18" s="17">
        <v>493740049</v>
      </c>
      <c r="E18" s="48">
        <f>D18/D10*100-100</f>
        <v>6.228008947050682</v>
      </c>
      <c r="F18" s="17">
        <v>558143347</v>
      </c>
      <c r="G18" s="48">
        <f>F18/F10*100-100</f>
        <v>15.996904733828913</v>
      </c>
      <c r="H18" s="17">
        <v>288171717</v>
      </c>
      <c r="I18" s="48">
        <f>H18/H10*100-100</f>
        <v>12.628010026408788</v>
      </c>
      <c r="J18" s="17">
        <v>254960289</v>
      </c>
      <c r="K18" s="48">
        <f>J18/J10*100-100</f>
        <v>23.19030275407951</v>
      </c>
      <c r="L18" s="17">
        <v>134285820</v>
      </c>
      <c r="M18" s="48">
        <f>L18/L10*100-100</f>
        <v>5.418398819032262</v>
      </c>
      <c r="N18" s="17">
        <v>92691939</v>
      </c>
      <c r="O18" s="48">
        <f>N18/N10*100-100</f>
        <v>7.417516279456777</v>
      </c>
      <c r="P18" s="17">
        <v>186197653</v>
      </c>
      <c r="Q18" s="50" t="s">
        <v>58</v>
      </c>
      <c r="R18" s="17">
        <v>398149924</v>
      </c>
      <c r="S18" s="50" t="s">
        <v>58</v>
      </c>
    </row>
    <row r="19" spans="1:19" s="15" customFormat="1" ht="11.25">
      <c r="A19" s="18" t="s">
        <v>21</v>
      </c>
      <c r="B19" s="17">
        <v>2068752768</v>
      </c>
      <c r="C19" s="48">
        <f>B19/B11*100-100</f>
        <v>2.294244077645132</v>
      </c>
      <c r="D19" s="17">
        <v>501041532</v>
      </c>
      <c r="E19" s="48">
        <f>D19/D11*100-100</f>
        <v>0.16543579381111329</v>
      </c>
      <c r="F19" s="17">
        <v>499614272</v>
      </c>
      <c r="G19" s="48">
        <f>F19/F11*100-100</f>
        <v>7.075050846283773</v>
      </c>
      <c r="H19" s="17">
        <v>275661250</v>
      </c>
      <c r="I19" s="48">
        <f>H19/H11*100-100</f>
        <v>3.4722200795419553</v>
      </c>
      <c r="J19" s="17">
        <v>245085213</v>
      </c>
      <c r="K19" s="48">
        <f>J19/J11*100-100</f>
        <v>3.6098325922578027</v>
      </c>
      <c r="L19" s="17">
        <v>112651970</v>
      </c>
      <c r="M19" s="48">
        <f>L19/L11*100-100</f>
        <v>-13.470026383844896</v>
      </c>
      <c r="N19" s="17">
        <v>85824322</v>
      </c>
      <c r="O19" s="48">
        <f>N19/N11*100-100</f>
        <v>-0.7457605557124793</v>
      </c>
      <c r="P19" s="17">
        <v>176423692</v>
      </c>
      <c r="Q19" s="50" t="s">
        <v>58</v>
      </c>
      <c r="R19" s="17">
        <v>529051128</v>
      </c>
      <c r="S19" s="50" t="s">
        <v>58</v>
      </c>
    </row>
    <row r="20" spans="1:38" s="18" customFormat="1" ht="11.25">
      <c r="A20" s="18" t="s">
        <v>59</v>
      </c>
      <c r="B20" s="27">
        <v>2172287797</v>
      </c>
      <c r="C20" s="48">
        <f>B20/B18*100-100</f>
        <v>-1.3241377572797148</v>
      </c>
      <c r="D20" s="27">
        <v>471908791</v>
      </c>
      <c r="E20" s="48">
        <f>D20/D18*100-100</f>
        <v>-4.421609720381426</v>
      </c>
      <c r="F20" s="27">
        <v>586237163</v>
      </c>
      <c r="G20" s="22">
        <f>F20/F18*100-100</f>
        <v>5.033440988054977</v>
      </c>
      <c r="H20" s="27">
        <v>276521067</v>
      </c>
      <c r="I20" s="22">
        <f>H20/H18*100-100</f>
        <v>-4.042954014116518</v>
      </c>
      <c r="J20" s="27">
        <v>264874831</v>
      </c>
      <c r="K20" s="22">
        <f>J20/J18*100-100</f>
        <v>3.888661265205883</v>
      </c>
      <c r="L20" s="27">
        <v>119157894</v>
      </c>
      <c r="M20" s="22">
        <f>L20/L18*100-100</f>
        <v>-11.265467939950767</v>
      </c>
      <c r="N20" s="27">
        <v>92853294</v>
      </c>
      <c r="O20" s="22">
        <f>N20/N18*100-100</f>
        <v>0.17407662601598872</v>
      </c>
      <c r="P20" s="27">
        <v>187996067</v>
      </c>
      <c r="Q20" s="22">
        <f>P20/P18*100-100</f>
        <v>0.9658628726109555</v>
      </c>
      <c r="R20" s="27">
        <v>497728482</v>
      </c>
      <c r="S20" s="22">
        <f>R20/R18*100-100</f>
        <v>25.010316967936944</v>
      </c>
      <c r="T20" s="27"/>
      <c r="U20" s="22"/>
      <c r="V20" s="27"/>
      <c r="W20" s="22"/>
      <c r="X20" s="27"/>
      <c r="Y20" s="22"/>
      <c r="Z20" s="27"/>
      <c r="AA20" s="22"/>
      <c r="AB20" s="27"/>
      <c r="AC20" s="22"/>
      <c r="AD20" s="27"/>
      <c r="AE20" s="22"/>
      <c r="AF20" s="27"/>
      <c r="AG20" s="22"/>
      <c r="AH20" s="27"/>
      <c r="AI20" s="22"/>
      <c r="AJ20" s="27"/>
      <c r="AK20" s="22"/>
      <c r="AL20" s="28"/>
    </row>
    <row r="21" spans="1:38" s="18" customFormat="1" ht="11.25">
      <c r="A21" s="18" t="s">
        <v>21</v>
      </c>
      <c r="B21" s="27">
        <v>2126270453</v>
      </c>
      <c r="C21" s="48">
        <f>B21/B19*100-100</f>
        <v>2.780307337333781</v>
      </c>
      <c r="D21" s="27">
        <v>499846261</v>
      </c>
      <c r="E21" s="48">
        <f>D21/D19*100-100</f>
        <v>-0.2385572699390508</v>
      </c>
      <c r="F21" s="27">
        <v>497952000</v>
      </c>
      <c r="G21" s="48">
        <f>F21/F19*100-100</f>
        <v>-0.33271107195272975</v>
      </c>
      <c r="H21" s="27">
        <v>283224201</v>
      </c>
      <c r="I21" s="48">
        <f>H21/H19*100-100</f>
        <v>2.7435669685166033</v>
      </c>
      <c r="J21" s="27">
        <v>264059460</v>
      </c>
      <c r="K21" s="48">
        <f>J21/J19*100-100</f>
        <v>7.741897916950208</v>
      </c>
      <c r="L21" s="27">
        <v>118941827</v>
      </c>
      <c r="M21" s="48">
        <f>L21/L19*100-100</f>
        <v>5.583441638881254</v>
      </c>
      <c r="N21" s="27">
        <v>93221491</v>
      </c>
      <c r="O21" s="48">
        <f>N21/N19*100-100</f>
        <v>8.618965845136529</v>
      </c>
      <c r="P21" s="27">
        <v>189960122</v>
      </c>
      <c r="Q21" s="48">
        <f>P21/P19*100-100</f>
        <v>7.672682646274055</v>
      </c>
      <c r="R21" s="27">
        <v>485556645</v>
      </c>
      <c r="S21" s="48">
        <f>R21/R19*100-100</f>
        <v>-8.221224886982952</v>
      </c>
      <c r="T21" s="27"/>
      <c r="U21" s="22"/>
      <c r="V21" s="27"/>
      <c r="W21" s="22"/>
      <c r="X21" s="27"/>
      <c r="Y21" s="22"/>
      <c r="Z21" s="27"/>
      <c r="AA21" s="22"/>
      <c r="AB21" s="27"/>
      <c r="AC21" s="22"/>
      <c r="AD21" s="27"/>
      <c r="AE21" s="22"/>
      <c r="AF21" s="27"/>
      <c r="AG21" s="22"/>
      <c r="AH21" s="27"/>
      <c r="AI21" s="22"/>
      <c r="AJ21" s="27"/>
      <c r="AK21" s="22"/>
      <c r="AL21" s="28"/>
    </row>
    <row r="22" spans="1:38" s="18" customFormat="1" ht="11.25">
      <c r="A22" s="18" t="s">
        <v>61</v>
      </c>
      <c r="B22" s="27">
        <v>2359850216</v>
      </c>
      <c r="C22" s="48">
        <f>B22/B20*100-100</f>
        <v>8.634326411952856</v>
      </c>
      <c r="D22" s="27">
        <v>519740669</v>
      </c>
      <c r="E22" s="48">
        <f>D22/D20*100-100</f>
        <v>10.135831099616027</v>
      </c>
      <c r="F22" s="27">
        <v>619715157</v>
      </c>
      <c r="G22" s="48">
        <f>F22/F20*100-100</f>
        <v>5.710657070711832</v>
      </c>
      <c r="H22" s="27">
        <v>282775254</v>
      </c>
      <c r="I22" s="48">
        <f>H22/H20*100-100</f>
        <v>2.261739789974129</v>
      </c>
      <c r="J22" s="27">
        <v>297787577</v>
      </c>
      <c r="K22" s="48">
        <f>J22/J20*100-100</f>
        <v>12.425773289120087</v>
      </c>
      <c r="L22" s="27">
        <v>134824157</v>
      </c>
      <c r="M22" s="48">
        <f>L22/L20*100-100</f>
        <v>13.14748228094733</v>
      </c>
      <c r="N22" s="27">
        <v>106964962</v>
      </c>
      <c r="O22" s="48">
        <f>N22/N20*100-100</f>
        <v>15.19781086064647</v>
      </c>
      <c r="P22" s="27">
        <v>212045763</v>
      </c>
      <c r="Q22" s="48">
        <f>P22/P20*100-100</f>
        <v>12.792659114512219</v>
      </c>
      <c r="R22" s="27">
        <v>542308831</v>
      </c>
      <c r="S22" s="48">
        <f>R22/R20*100-100</f>
        <v>8.956760686240983</v>
      </c>
      <c r="T22" s="27"/>
      <c r="U22" s="22"/>
      <c r="V22" s="27"/>
      <c r="W22" s="22"/>
      <c r="X22" s="27"/>
      <c r="Y22" s="22"/>
      <c r="Z22" s="27"/>
      <c r="AA22" s="22"/>
      <c r="AB22" s="27"/>
      <c r="AC22" s="22"/>
      <c r="AD22" s="27"/>
      <c r="AE22" s="22"/>
      <c r="AF22" s="27"/>
      <c r="AG22" s="22"/>
      <c r="AH22" s="27"/>
      <c r="AI22" s="22"/>
      <c r="AJ22" s="27"/>
      <c r="AK22" s="22"/>
      <c r="AL22" s="28"/>
    </row>
    <row r="23" spans="1:38" s="18" customFormat="1" ht="11.25">
      <c r="A23" s="18" t="s">
        <v>21</v>
      </c>
      <c r="B23" s="27">
        <v>2309900106</v>
      </c>
      <c r="C23" s="48">
        <f>B23/B21*100-100</f>
        <v>8.636232175493632</v>
      </c>
      <c r="D23" s="27">
        <v>578838395</v>
      </c>
      <c r="E23" s="48">
        <f>D23/D21*100-100</f>
        <v>15.803285962761265</v>
      </c>
      <c r="F23" s="27">
        <v>530591946</v>
      </c>
      <c r="G23" s="48">
        <f>F23/F21*100-100</f>
        <v>6.554837815693077</v>
      </c>
      <c r="H23" s="27">
        <v>285036340</v>
      </c>
      <c r="I23" s="48">
        <f>H23/H21*100-100</f>
        <v>0.6398249138321432</v>
      </c>
      <c r="J23" s="27">
        <v>288922793</v>
      </c>
      <c r="K23" s="48">
        <f>J23/J21*100-100</f>
        <v>9.415808469804503</v>
      </c>
      <c r="L23" s="27">
        <v>126134297</v>
      </c>
      <c r="M23" s="48">
        <f>L23/L21*100-100</f>
        <v>6.047048529025872</v>
      </c>
      <c r="N23" s="27">
        <v>102208093</v>
      </c>
      <c r="O23" s="48">
        <f>N23/N21*100-100</f>
        <v>9.64005392275908</v>
      </c>
      <c r="P23" s="27">
        <v>221577710</v>
      </c>
      <c r="Q23" s="48">
        <f>P23/P21*100-100</f>
        <v>16.644329171361562</v>
      </c>
      <c r="R23" s="27">
        <v>551408530</v>
      </c>
      <c r="S23" s="48">
        <f>R23/R21*100-100</f>
        <v>13.562142682652407</v>
      </c>
      <c r="T23" s="27"/>
      <c r="U23" s="22"/>
      <c r="V23" s="27"/>
      <c r="W23" s="22"/>
      <c r="X23" s="27"/>
      <c r="Y23" s="22"/>
      <c r="Z23" s="27"/>
      <c r="AA23" s="22"/>
      <c r="AB23" s="27"/>
      <c r="AC23" s="22"/>
      <c r="AD23" s="27"/>
      <c r="AE23" s="22"/>
      <c r="AF23" s="27"/>
      <c r="AG23" s="22"/>
      <c r="AH23" s="27"/>
      <c r="AI23" s="22"/>
      <c r="AJ23" s="27"/>
      <c r="AK23" s="22"/>
      <c r="AL23" s="28"/>
    </row>
    <row r="24" spans="2:38" s="18" customFormat="1" ht="11.25">
      <c r="B24" s="27"/>
      <c r="C24" s="48"/>
      <c r="D24" s="27"/>
      <c r="E24" s="48"/>
      <c r="F24" s="27"/>
      <c r="G24" s="22"/>
      <c r="H24" s="27"/>
      <c r="I24" s="22"/>
      <c r="J24" s="27"/>
      <c r="K24" s="22"/>
      <c r="L24" s="27"/>
      <c r="M24" s="22"/>
      <c r="N24" s="27"/>
      <c r="O24" s="22"/>
      <c r="P24" s="27"/>
      <c r="Q24" s="22"/>
      <c r="R24" s="27"/>
      <c r="S24" s="22"/>
      <c r="T24" s="27"/>
      <c r="U24" s="22"/>
      <c r="V24" s="27"/>
      <c r="W24" s="22"/>
      <c r="X24" s="27"/>
      <c r="Y24" s="22"/>
      <c r="Z24" s="27"/>
      <c r="AA24" s="22"/>
      <c r="AB24" s="27"/>
      <c r="AC24" s="22"/>
      <c r="AD24" s="27"/>
      <c r="AE24" s="22"/>
      <c r="AF24" s="27"/>
      <c r="AG24" s="22"/>
      <c r="AH24" s="27"/>
      <c r="AI24" s="22"/>
      <c r="AJ24" s="27"/>
      <c r="AK24" s="22"/>
      <c r="AL24" s="28"/>
    </row>
    <row r="25" spans="2:38" s="18" customFormat="1" ht="11.25">
      <c r="B25" s="27"/>
      <c r="C25" s="22"/>
      <c r="D25" s="27"/>
      <c r="E25" s="22"/>
      <c r="F25" s="27"/>
      <c r="G25" s="22"/>
      <c r="H25" s="27"/>
      <c r="I25" s="22"/>
      <c r="J25" s="27"/>
      <c r="K25" s="22"/>
      <c r="L25" s="27"/>
      <c r="M25" s="22"/>
      <c r="N25" s="27"/>
      <c r="O25" s="22"/>
      <c r="P25" s="27"/>
      <c r="Q25" s="22"/>
      <c r="R25" s="27"/>
      <c r="S25" s="22"/>
      <c r="T25" s="27"/>
      <c r="U25" s="22"/>
      <c r="V25" s="27"/>
      <c r="W25" s="22"/>
      <c r="X25" s="27"/>
      <c r="Y25" s="22"/>
      <c r="Z25" s="27"/>
      <c r="AA25" s="22"/>
      <c r="AB25" s="27"/>
      <c r="AC25" s="22"/>
      <c r="AD25" s="27"/>
      <c r="AE25" s="22"/>
      <c r="AF25" s="27"/>
      <c r="AG25" s="22"/>
      <c r="AH25" s="27"/>
      <c r="AI25" s="22"/>
      <c r="AJ25" s="27"/>
      <c r="AK25" s="22"/>
      <c r="AL25" s="28"/>
    </row>
    <row r="26" spans="1:38" s="18" customFormat="1" ht="22.5">
      <c r="A26" s="6" t="s">
        <v>2</v>
      </c>
      <c r="B26" s="7" t="s">
        <v>28</v>
      </c>
      <c r="C26" s="11" t="s">
        <v>4</v>
      </c>
      <c r="D26" s="7" t="s">
        <v>29</v>
      </c>
      <c r="E26" s="11" t="s">
        <v>4</v>
      </c>
      <c r="F26" s="29" t="s">
        <v>30</v>
      </c>
      <c r="G26" s="11" t="s">
        <v>4</v>
      </c>
      <c r="H26" s="7" t="s">
        <v>31</v>
      </c>
      <c r="I26" s="11" t="s">
        <v>4</v>
      </c>
      <c r="J26" s="7" t="s">
        <v>32</v>
      </c>
      <c r="K26" s="11" t="s">
        <v>4</v>
      </c>
      <c r="L26" s="7" t="s">
        <v>33</v>
      </c>
      <c r="M26" s="11" t="s">
        <v>4</v>
      </c>
      <c r="N26" s="7" t="s">
        <v>34</v>
      </c>
      <c r="O26" s="11" t="s">
        <v>4</v>
      </c>
      <c r="P26" s="7" t="s">
        <v>45</v>
      </c>
      <c r="Q26" s="8" t="s">
        <v>4</v>
      </c>
      <c r="R26" s="7" t="s">
        <v>36</v>
      </c>
      <c r="S26" s="30" t="s">
        <v>4</v>
      </c>
      <c r="T26" s="27"/>
      <c r="U26" s="22"/>
      <c r="V26" s="27"/>
      <c r="W26" s="22"/>
      <c r="X26" s="27"/>
      <c r="Y26" s="22"/>
      <c r="Z26" s="27"/>
      <c r="AA26" s="22"/>
      <c r="AB26" s="27"/>
      <c r="AC26" s="22"/>
      <c r="AD26" s="27"/>
      <c r="AE26" s="22"/>
      <c r="AF26" s="27"/>
      <c r="AG26" s="22"/>
      <c r="AH26" s="27"/>
      <c r="AI26" s="22"/>
      <c r="AJ26" s="27"/>
      <c r="AK26" s="22"/>
      <c r="AL26" s="28"/>
    </row>
    <row r="27" spans="1:38" s="18" customFormat="1" ht="11.25">
      <c r="A27" s="16" t="s">
        <v>49</v>
      </c>
      <c r="B27" s="27">
        <f>B33+B34</f>
        <v>135059732</v>
      </c>
      <c r="C27" s="14"/>
      <c r="D27" s="27">
        <f>D33+D34</f>
        <v>73133165</v>
      </c>
      <c r="E27" s="14"/>
      <c r="F27" s="27">
        <f>F33+F34</f>
        <v>1221116156</v>
      </c>
      <c r="G27" s="14"/>
      <c r="H27" s="27">
        <f>H33+H34</f>
        <v>101705755</v>
      </c>
      <c r="I27" s="14"/>
      <c r="J27" s="27">
        <f>J33+J34</f>
        <v>229341282</v>
      </c>
      <c r="K27" s="14"/>
      <c r="L27" s="27">
        <f>L33+L34</f>
        <v>376165544</v>
      </c>
      <c r="M27" s="14"/>
      <c r="N27" s="27">
        <f>N33+N34</f>
        <v>612231645</v>
      </c>
      <c r="O27" s="14"/>
      <c r="P27" s="27">
        <f>P33+P34</f>
        <v>145998862</v>
      </c>
      <c r="Q27" s="14"/>
      <c r="R27" s="31">
        <f>B5+P5+R5+B27+D27+F27+H27+J27+L27+N27+P27</f>
        <v>7960832587</v>
      </c>
      <c r="S27" s="14"/>
      <c r="T27" s="27"/>
      <c r="U27" s="22"/>
      <c r="V27" s="27"/>
      <c r="W27" s="22"/>
      <c r="X27" s="27"/>
      <c r="Y27" s="22"/>
      <c r="Z27" s="27"/>
      <c r="AA27" s="22"/>
      <c r="AB27" s="27"/>
      <c r="AC27" s="22"/>
      <c r="AD27" s="27"/>
      <c r="AE27" s="22"/>
      <c r="AF27" s="27"/>
      <c r="AG27" s="22"/>
      <c r="AH27" s="27"/>
      <c r="AI27" s="22"/>
      <c r="AJ27" s="27"/>
      <c r="AK27" s="22"/>
      <c r="AL27" s="28"/>
    </row>
    <row r="28" spans="1:38" s="18" customFormat="1" ht="11.25">
      <c r="A28" s="16" t="s">
        <v>53</v>
      </c>
      <c r="B28" s="27">
        <f>B35+B36</f>
        <v>133291530</v>
      </c>
      <c r="C28" s="49">
        <f>B28/B27*100-100</f>
        <v>-1.3091999916007495</v>
      </c>
      <c r="D28" s="27">
        <f>D35+D36</f>
        <v>79762841</v>
      </c>
      <c r="E28" s="49">
        <f>D28/D27*100-100</f>
        <v>9.065211385286005</v>
      </c>
      <c r="F28" s="27">
        <f>F35+F36</f>
        <v>1105005121</v>
      </c>
      <c r="G28" s="49">
        <f>F28/F27*100-100</f>
        <v>-9.508598705330698</v>
      </c>
      <c r="H28" s="27">
        <f>H35+H36</f>
        <v>91128942</v>
      </c>
      <c r="I28" s="49">
        <f>H28/H27*100-100</f>
        <v>-10.399424300031</v>
      </c>
      <c r="J28" s="27">
        <f>J35+J36</f>
        <v>177181858</v>
      </c>
      <c r="K28" s="49">
        <f>J28/J27*100-100</f>
        <v>-22.743146608904013</v>
      </c>
      <c r="L28" s="27">
        <f>L35+L36</f>
        <v>350623972</v>
      </c>
      <c r="M28" s="49">
        <f>L28/L27*100-100</f>
        <v>-6.7899818065207995</v>
      </c>
      <c r="N28" s="27">
        <f>N35+N36</f>
        <v>525820386</v>
      </c>
      <c r="O28" s="49">
        <f>N28/N27*100-100</f>
        <v>-14.114144491828739</v>
      </c>
      <c r="P28" s="27">
        <f>P35+P36</f>
        <v>142199128</v>
      </c>
      <c r="Q28" s="49">
        <f>P28/P27*100-100</f>
        <v>-2.6025778200928613</v>
      </c>
      <c r="R28" s="27">
        <f>R35+R36</f>
        <v>7717967659</v>
      </c>
      <c r="S28" s="49">
        <f>R28/R27*100-100</f>
        <v>-3.0507478375640886</v>
      </c>
      <c r="T28" s="27"/>
      <c r="U28" s="22"/>
      <c r="V28" s="27"/>
      <c r="W28" s="22"/>
      <c r="X28" s="27"/>
      <c r="Y28" s="22"/>
      <c r="Z28" s="27"/>
      <c r="AA28" s="22"/>
      <c r="AB28" s="27"/>
      <c r="AC28" s="22"/>
      <c r="AD28" s="27"/>
      <c r="AE28" s="22"/>
      <c r="AF28" s="27"/>
      <c r="AG28" s="22"/>
      <c r="AH28" s="27"/>
      <c r="AI28" s="22"/>
      <c r="AJ28" s="27"/>
      <c r="AK28" s="22"/>
      <c r="AL28" s="28"/>
    </row>
    <row r="29" spans="1:38" s="18" customFormat="1" ht="11.25">
      <c r="A29" s="16" t="s">
        <v>56</v>
      </c>
      <c r="B29" s="27">
        <f>B37+B38</f>
        <v>145888640</v>
      </c>
      <c r="C29" s="49">
        <f>B29/B28*100-100</f>
        <v>9.45079556067816</v>
      </c>
      <c r="D29" s="27">
        <f>D37+D38</f>
        <v>80201221</v>
      </c>
      <c r="E29" s="49">
        <f>D29/D28*100-100</f>
        <v>0.5496042950626503</v>
      </c>
      <c r="F29" s="27">
        <f>F37+F38</f>
        <v>1171696051</v>
      </c>
      <c r="G29" s="49">
        <f>F29/F28*100-100</f>
        <v>6.035350310381048</v>
      </c>
      <c r="H29" s="27">
        <f>H37+H38</f>
        <v>101343497</v>
      </c>
      <c r="I29" s="49">
        <f>H29/H28*100-100</f>
        <v>11.20890331416335</v>
      </c>
      <c r="J29" s="27">
        <f>J37+J38</f>
        <v>206196980</v>
      </c>
      <c r="K29" s="49">
        <f>J29/J28*100-100</f>
        <v>16.375898936560418</v>
      </c>
      <c r="L29" s="27">
        <f>L37+L38</f>
        <v>362595186</v>
      </c>
      <c r="M29" s="49">
        <f>L29/L28*100-100</f>
        <v>3.4142599924685157</v>
      </c>
      <c r="N29" s="27">
        <f>N37+N38</f>
        <v>593300189</v>
      </c>
      <c r="O29" s="49">
        <f>N29/N28*100-100</f>
        <v>12.833242072132208</v>
      </c>
      <c r="P29" s="27">
        <f>P37+P38</f>
        <v>167466832</v>
      </c>
      <c r="Q29" s="49">
        <f>P29/P28*100-100</f>
        <v>17.76923976636482</v>
      </c>
      <c r="R29" s="27">
        <f>R37+R38</f>
        <v>8388701628</v>
      </c>
      <c r="S29" s="49">
        <f>R29/R28*100-100</f>
        <v>8.690551692294932</v>
      </c>
      <c r="T29" s="27"/>
      <c r="U29" s="22"/>
      <c r="V29" s="27"/>
      <c r="W29" s="22"/>
      <c r="X29" s="27"/>
      <c r="Y29" s="22"/>
      <c r="Z29" s="27"/>
      <c r="AA29" s="22"/>
      <c r="AB29" s="27"/>
      <c r="AC29" s="22"/>
      <c r="AD29" s="27"/>
      <c r="AE29" s="22"/>
      <c r="AF29" s="27"/>
      <c r="AG29" s="22"/>
      <c r="AH29" s="27"/>
      <c r="AI29" s="22"/>
      <c r="AJ29" s="27"/>
      <c r="AK29" s="22"/>
      <c r="AL29" s="28"/>
    </row>
    <row r="30" spans="1:38" s="18" customFormat="1" ht="11.25">
      <c r="A30" s="16" t="s">
        <v>60</v>
      </c>
      <c r="B30" s="27">
        <f>B40+B39</f>
        <v>142672925</v>
      </c>
      <c r="C30" s="49">
        <f>B30/B29*100-100</f>
        <v>-2.204225771108696</v>
      </c>
      <c r="D30" s="27">
        <f>D40+D39</f>
        <v>91025708</v>
      </c>
      <c r="E30" s="49">
        <f>D30/D29*100-100</f>
        <v>13.496661104448776</v>
      </c>
      <c r="F30" s="27">
        <f>F40+F39</f>
        <v>1335964320</v>
      </c>
      <c r="G30" s="49">
        <f>F30/F29*100-100</f>
        <v>14.019699806942512</v>
      </c>
      <c r="H30" s="27">
        <f>H40+H39</f>
        <v>107917252</v>
      </c>
      <c r="I30" s="49">
        <f>H30/H29*100-100</f>
        <v>6.4866076212073125</v>
      </c>
      <c r="J30" s="27">
        <f>J40+J39</f>
        <v>257216058</v>
      </c>
      <c r="K30" s="49">
        <f>J30/J29*100-100</f>
        <v>24.74288323718416</v>
      </c>
      <c r="L30" s="27">
        <f>L40+L39</f>
        <v>385457956</v>
      </c>
      <c r="M30" s="49">
        <f>L30/L29*100-100</f>
        <v>6.305315371726962</v>
      </c>
      <c r="N30" s="27">
        <f>N40+N39</f>
        <v>670780101</v>
      </c>
      <c r="O30" s="49">
        <f>N30/N29*100-100</f>
        <v>13.059141634623671</v>
      </c>
      <c r="P30" s="27">
        <f>P40+P39</f>
        <v>171158307</v>
      </c>
      <c r="Q30" s="49">
        <f>P30/P29*100-100</f>
        <v>2.2043021629500856</v>
      </c>
      <c r="R30" s="27">
        <f>R40+R39</f>
        <v>8821992193</v>
      </c>
      <c r="S30" s="49">
        <f>R30/R29*100-100</f>
        <v>5.165168392135371</v>
      </c>
      <c r="T30" s="27"/>
      <c r="U30" s="22"/>
      <c r="V30" s="27"/>
      <c r="W30" s="22"/>
      <c r="X30" s="27"/>
      <c r="Y30" s="22"/>
      <c r="Z30" s="27"/>
      <c r="AA30" s="22"/>
      <c r="AB30" s="27"/>
      <c r="AC30" s="22"/>
      <c r="AD30" s="27"/>
      <c r="AE30" s="22"/>
      <c r="AF30" s="27"/>
      <c r="AG30" s="22"/>
      <c r="AH30" s="27"/>
      <c r="AI30" s="22"/>
      <c r="AJ30" s="27"/>
      <c r="AK30" s="22"/>
      <c r="AL30" s="28"/>
    </row>
    <row r="31" spans="1:38" s="18" customFormat="1" ht="11.25">
      <c r="A31" s="16" t="s">
        <v>62</v>
      </c>
      <c r="B31" s="27">
        <f>B41+B42</f>
        <v>180608030</v>
      </c>
      <c r="C31" s="49">
        <f>B31/B30*100-100</f>
        <v>26.588860500336693</v>
      </c>
      <c r="D31" s="27">
        <f>D41+D42</f>
        <v>91695097</v>
      </c>
      <c r="E31" s="49">
        <f>D31/D30*100-100</f>
        <v>0.735384557514223</v>
      </c>
      <c r="F31" s="27">
        <f>F41+F42</f>
        <v>1385510543</v>
      </c>
      <c r="G31" s="49">
        <f>F31/F30*100-100</f>
        <v>3.708648671096242</v>
      </c>
      <c r="H31" s="27">
        <f>H41+H42</f>
        <v>129773917</v>
      </c>
      <c r="I31" s="49">
        <f>H31/H30*100-100</f>
        <v>20.25317045693491</v>
      </c>
      <c r="J31" s="27">
        <f>J41+J42</f>
        <v>302525580</v>
      </c>
      <c r="K31" s="49">
        <f>J31/J30*100-100</f>
        <v>17.61535510352934</v>
      </c>
      <c r="L31" s="27">
        <f>L41+L42</f>
        <v>397696867</v>
      </c>
      <c r="M31" s="49">
        <f>L31/L30*100-100</f>
        <v>3.1751610803436137</v>
      </c>
      <c r="N31" s="27">
        <f>N41+N42</f>
        <v>686117229</v>
      </c>
      <c r="O31" s="49">
        <f>N31/N30*100-100</f>
        <v>2.2864613868442802</v>
      </c>
      <c r="P31" s="27">
        <f>P41+P42</f>
        <v>175050455</v>
      </c>
      <c r="Q31" s="49">
        <f>P31/P30*100-100</f>
        <v>2.2740047317715124</v>
      </c>
      <c r="R31" s="27">
        <f>R41+R42</f>
        <v>9546068874</v>
      </c>
      <c r="S31" s="49">
        <f>R31/R30*100-100</f>
        <v>8.20763230299086</v>
      </c>
      <c r="T31" s="27"/>
      <c r="U31" s="22"/>
      <c r="V31" s="27"/>
      <c r="W31" s="22"/>
      <c r="X31" s="27"/>
      <c r="Y31" s="22"/>
      <c r="Z31" s="27"/>
      <c r="AA31" s="22"/>
      <c r="AB31" s="27"/>
      <c r="AC31" s="22"/>
      <c r="AD31" s="27"/>
      <c r="AE31" s="22"/>
      <c r="AF31" s="27"/>
      <c r="AG31" s="22"/>
      <c r="AH31" s="27"/>
      <c r="AI31" s="22"/>
      <c r="AJ31" s="27"/>
      <c r="AK31" s="22"/>
      <c r="AL31" s="28"/>
    </row>
    <row r="32" spans="1:38" s="18" customFormat="1" ht="11.25">
      <c r="A32" s="1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4"/>
      <c r="T32" s="27"/>
      <c r="U32" s="22"/>
      <c r="V32" s="27"/>
      <c r="W32" s="22"/>
      <c r="X32" s="27"/>
      <c r="Y32" s="22"/>
      <c r="Z32" s="27"/>
      <c r="AA32" s="22"/>
      <c r="AB32" s="27"/>
      <c r="AC32" s="22"/>
      <c r="AD32" s="27"/>
      <c r="AE32" s="22"/>
      <c r="AF32" s="27"/>
      <c r="AG32" s="22"/>
      <c r="AH32" s="27"/>
      <c r="AI32" s="22"/>
      <c r="AJ32" s="27"/>
      <c r="AK32" s="22"/>
      <c r="AL32" s="28"/>
    </row>
    <row r="33" spans="1:38" s="18" customFormat="1" ht="11.25">
      <c r="A33" s="18" t="s">
        <v>50</v>
      </c>
      <c r="B33" s="27">
        <v>74280996</v>
      </c>
      <c r="C33" s="14"/>
      <c r="D33" s="27">
        <v>37298795</v>
      </c>
      <c r="E33" s="14"/>
      <c r="F33" s="27">
        <v>617582198</v>
      </c>
      <c r="G33" s="14"/>
      <c r="H33" s="27">
        <v>54424085</v>
      </c>
      <c r="I33" s="14"/>
      <c r="J33" s="27">
        <v>118672218</v>
      </c>
      <c r="K33" s="14"/>
      <c r="L33" s="27">
        <v>186025492</v>
      </c>
      <c r="M33" s="14"/>
      <c r="N33" s="27">
        <v>319414173</v>
      </c>
      <c r="O33" s="14"/>
      <c r="P33" s="27">
        <v>68596146</v>
      </c>
      <c r="Q33" s="14"/>
      <c r="R33" s="27">
        <v>3933980833</v>
      </c>
      <c r="S33" s="14"/>
      <c r="T33" s="27"/>
      <c r="U33" s="22"/>
      <c r="V33" s="27"/>
      <c r="W33" s="22"/>
      <c r="X33" s="27"/>
      <c r="Y33" s="22"/>
      <c r="Z33" s="27"/>
      <c r="AA33" s="22"/>
      <c r="AB33" s="27"/>
      <c r="AC33" s="22"/>
      <c r="AD33" s="27"/>
      <c r="AE33" s="22"/>
      <c r="AF33" s="27"/>
      <c r="AG33" s="22"/>
      <c r="AH33" s="27"/>
      <c r="AI33" s="22"/>
      <c r="AJ33" s="27"/>
      <c r="AK33" s="22"/>
      <c r="AL33" s="28"/>
    </row>
    <row r="34" spans="1:38" s="18" customFormat="1" ht="11.25">
      <c r="A34" s="18" t="s">
        <v>21</v>
      </c>
      <c r="B34" s="27">
        <v>60778736</v>
      </c>
      <c r="C34" s="14"/>
      <c r="D34" s="27">
        <v>35834370</v>
      </c>
      <c r="E34" s="14"/>
      <c r="F34" s="27">
        <v>603533958</v>
      </c>
      <c r="G34" s="14"/>
      <c r="H34" s="27">
        <v>47281670</v>
      </c>
      <c r="I34" s="14"/>
      <c r="J34" s="27">
        <v>110669064</v>
      </c>
      <c r="K34" s="14"/>
      <c r="L34" s="27">
        <v>190140052</v>
      </c>
      <c r="M34" s="14"/>
      <c r="N34" s="27">
        <v>292817472</v>
      </c>
      <c r="O34" s="14"/>
      <c r="P34" s="27">
        <v>77402716</v>
      </c>
      <c r="Q34" s="14"/>
      <c r="R34" s="27">
        <v>4026851754</v>
      </c>
      <c r="S34" s="14"/>
      <c r="T34" s="27"/>
      <c r="U34" s="22"/>
      <c r="V34" s="27"/>
      <c r="W34" s="22"/>
      <c r="X34" s="27"/>
      <c r="Y34" s="22"/>
      <c r="Z34" s="27"/>
      <c r="AA34" s="22"/>
      <c r="AB34" s="27"/>
      <c r="AC34" s="22"/>
      <c r="AD34" s="27"/>
      <c r="AE34" s="22"/>
      <c r="AF34" s="27"/>
      <c r="AG34" s="22"/>
      <c r="AH34" s="27"/>
      <c r="AI34" s="22"/>
      <c r="AJ34" s="27"/>
      <c r="AK34" s="22"/>
      <c r="AL34" s="28"/>
    </row>
    <row r="35" spans="1:38" s="18" customFormat="1" ht="11.25">
      <c r="A35" s="18" t="s">
        <v>52</v>
      </c>
      <c r="B35" s="13">
        <v>63125955</v>
      </c>
      <c r="C35" s="48">
        <f aca="true" t="shared" si="2" ref="C35:C42">B35/B33*100-100</f>
        <v>-15.017355179243964</v>
      </c>
      <c r="D35" s="13">
        <v>39497691</v>
      </c>
      <c r="E35" s="48">
        <f aca="true" t="shared" si="3" ref="E35:E42">D35/D33*100-100</f>
        <v>5.895353991998945</v>
      </c>
      <c r="F35" s="13">
        <v>568877653</v>
      </c>
      <c r="G35" s="48">
        <f aca="true" t="shared" si="4" ref="G35:G42">F35/F33*100-100</f>
        <v>-7.886325926771605</v>
      </c>
      <c r="H35" s="13">
        <v>46309537</v>
      </c>
      <c r="I35" s="48">
        <f aca="true" t="shared" si="5" ref="I35:I42">H35/H33*100-100</f>
        <v>-14.90984735894044</v>
      </c>
      <c r="J35" s="13">
        <v>83186697</v>
      </c>
      <c r="K35" s="48">
        <f aca="true" t="shared" si="6" ref="K35:K42">J35/J33*100-100</f>
        <v>-29.902130084060616</v>
      </c>
      <c r="L35" s="13">
        <v>157921912</v>
      </c>
      <c r="M35" s="48">
        <f aca="true" t="shared" si="7" ref="M35:M42">L35/L33*100-100</f>
        <v>-15.107381089469172</v>
      </c>
      <c r="N35" s="13">
        <v>250859248</v>
      </c>
      <c r="O35" s="48">
        <f aca="true" t="shared" si="8" ref="O35:O42">N35/N33*100-100</f>
        <v>-21.46270603965968</v>
      </c>
      <c r="P35" s="13">
        <v>69204751</v>
      </c>
      <c r="Q35" s="48">
        <f aca="true" t="shared" si="9" ref="Q35:Q42">P35/P33*100-100</f>
        <v>0.8872291454974857</v>
      </c>
      <c r="R35" s="31">
        <f>SUM(P35,N35,L35,J35,P10,R10,B35,D35,F35,H35,B10)</f>
        <v>3767345747</v>
      </c>
      <c r="S35" s="48">
        <f aca="true" t="shared" si="10" ref="S35:S42">R35/R33*100-100</f>
        <v>-4.235787947978537</v>
      </c>
      <c r="T35" s="27"/>
      <c r="U35" s="22"/>
      <c r="V35" s="27"/>
      <c r="W35" s="22"/>
      <c r="X35" s="27"/>
      <c r="Y35" s="22"/>
      <c r="Z35" s="27"/>
      <c r="AA35" s="22"/>
      <c r="AB35" s="27"/>
      <c r="AC35" s="22"/>
      <c r="AD35" s="27"/>
      <c r="AE35" s="22"/>
      <c r="AF35" s="27"/>
      <c r="AG35" s="22"/>
      <c r="AH35" s="27"/>
      <c r="AI35" s="22"/>
      <c r="AJ35" s="27"/>
      <c r="AK35" s="22"/>
      <c r="AL35" s="28"/>
    </row>
    <row r="36" spans="1:38" s="18" customFormat="1" ht="11.25">
      <c r="A36" s="18" t="s">
        <v>21</v>
      </c>
      <c r="B36" s="13">
        <v>70165575</v>
      </c>
      <c r="C36" s="48">
        <f t="shared" si="2"/>
        <v>15.444281368404901</v>
      </c>
      <c r="D36" s="13">
        <v>40265150</v>
      </c>
      <c r="E36" s="48">
        <f t="shared" si="3"/>
        <v>12.364609730825464</v>
      </c>
      <c r="F36" s="13">
        <v>536127468</v>
      </c>
      <c r="G36" s="48">
        <f t="shared" si="4"/>
        <v>-11.168632536166257</v>
      </c>
      <c r="H36" s="13">
        <v>44819405</v>
      </c>
      <c r="I36" s="48">
        <f t="shared" si="5"/>
        <v>-5.207652352380947</v>
      </c>
      <c r="J36" s="13">
        <v>93995161</v>
      </c>
      <c r="K36" s="48">
        <f t="shared" si="6"/>
        <v>-15.066453439960426</v>
      </c>
      <c r="L36" s="13">
        <v>192702060</v>
      </c>
      <c r="M36" s="48">
        <f t="shared" si="7"/>
        <v>1.3474320497188046</v>
      </c>
      <c r="N36" s="13">
        <v>274961138</v>
      </c>
      <c r="O36" s="48">
        <f t="shared" si="8"/>
        <v>-6.098110839506191</v>
      </c>
      <c r="P36" s="13">
        <v>72994377</v>
      </c>
      <c r="Q36" s="48">
        <f t="shared" si="9"/>
        <v>-5.695328572191187</v>
      </c>
      <c r="R36" s="31">
        <f>SUM(P36,N36,L36,J36,P11,R11,B36,D36,F36,H36,B11)</f>
        <v>3950621912</v>
      </c>
      <c r="S36" s="48">
        <f t="shared" si="10"/>
        <v>-1.8930382009786797</v>
      </c>
      <c r="T36" s="27"/>
      <c r="U36" s="22"/>
      <c r="V36" s="27"/>
      <c r="W36" s="22"/>
      <c r="X36" s="27"/>
      <c r="Y36" s="22"/>
      <c r="Z36" s="27"/>
      <c r="AA36" s="22"/>
      <c r="AB36" s="27"/>
      <c r="AC36" s="22"/>
      <c r="AD36" s="27"/>
      <c r="AE36" s="22"/>
      <c r="AF36" s="27"/>
      <c r="AG36" s="22"/>
      <c r="AH36" s="27"/>
      <c r="AI36" s="22"/>
      <c r="AJ36" s="27"/>
      <c r="AK36" s="22"/>
      <c r="AL36" s="28"/>
    </row>
    <row r="37" spans="1:38" s="18" customFormat="1" ht="11.25">
      <c r="A37" s="18" t="s">
        <v>57</v>
      </c>
      <c r="B37" s="13">
        <v>70392762</v>
      </c>
      <c r="C37" s="48">
        <f t="shared" si="2"/>
        <v>11.511599309665897</v>
      </c>
      <c r="D37" s="13">
        <v>35726963</v>
      </c>
      <c r="E37" s="48">
        <f t="shared" si="3"/>
        <v>-9.546704894724101</v>
      </c>
      <c r="F37" s="13">
        <v>615921178</v>
      </c>
      <c r="G37" s="48">
        <f t="shared" si="4"/>
        <v>8.269532957027565</v>
      </c>
      <c r="H37" s="13">
        <v>56209692</v>
      </c>
      <c r="I37" s="48">
        <f t="shared" si="5"/>
        <v>21.378220645997814</v>
      </c>
      <c r="J37" s="13">
        <v>98019838</v>
      </c>
      <c r="K37" s="48">
        <f t="shared" si="6"/>
        <v>17.83114552558807</v>
      </c>
      <c r="L37" s="13">
        <v>183077744</v>
      </c>
      <c r="M37" s="48">
        <f t="shared" si="7"/>
        <v>15.92928535465046</v>
      </c>
      <c r="N37" s="13">
        <v>267690411</v>
      </c>
      <c r="O37" s="48">
        <f t="shared" si="8"/>
        <v>6.709405028591959</v>
      </c>
      <c r="P37" s="13">
        <v>79907727</v>
      </c>
      <c r="Q37" s="48">
        <f t="shared" si="9"/>
        <v>15.465666511826612</v>
      </c>
      <c r="R37" s="31">
        <f aca="true" t="shared" si="11" ref="R37:R42">SUM(P37,N37,L37,J37,P18,R18,B37,D37,F37,H37,B18)</f>
        <v>4192731759</v>
      </c>
      <c r="S37" s="48">
        <f t="shared" si="10"/>
        <v>11.29139825668355</v>
      </c>
      <c r="T37" s="27"/>
      <c r="U37" s="22"/>
      <c r="V37" s="27"/>
      <c r="W37" s="22"/>
      <c r="X37" s="27"/>
      <c r="Y37" s="22"/>
      <c r="Z37" s="27"/>
      <c r="AA37" s="22"/>
      <c r="AB37" s="27"/>
      <c r="AC37" s="22"/>
      <c r="AD37" s="27"/>
      <c r="AE37" s="22"/>
      <c r="AF37" s="27"/>
      <c r="AG37" s="22"/>
      <c r="AH37" s="27"/>
      <c r="AI37" s="22"/>
      <c r="AJ37" s="27"/>
      <c r="AK37" s="22"/>
      <c r="AL37" s="28"/>
    </row>
    <row r="38" spans="1:38" s="18" customFormat="1" ht="11.25">
      <c r="A38" s="18" t="s">
        <v>21</v>
      </c>
      <c r="B38" s="13">
        <v>75495878</v>
      </c>
      <c r="C38" s="48">
        <f t="shared" si="2"/>
        <v>7.596749545628327</v>
      </c>
      <c r="D38" s="13">
        <v>44474258</v>
      </c>
      <c r="E38" s="48">
        <f t="shared" si="3"/>
        <v>10.453476517534384</v>
      </c>
      <c r="F38" s="13">
        <v>555774873</v>
      </c>
      <c r="G38" s="48">
        <f t="shared" si="4"/>
        <v>3.66468912202798</v>
      </c>
      <c r="H38" s="13">
        <v>45133805</v>
      </c>
      <c r="I38" s="48">
        <f t="shared" si="5"/>
        <v>0.7014818692929907</v>
      </c>
      <c r="J38" s="13">
        <v>108177142</v>
      </c>
      <c r="K38" s="48">
        <f t="shared" si="6"/>
        <v>15.08799054027898</v>
      </c>
      <c r="L38" s="13">
        <v>179517442</v>
      </c>
      <c r="M38" s="48">
        <f t="shared" si="7"/>
        <v>-6.841970449096394</v>
      </c>
      <c r="N38" s="13">
        <v>325609778</v>
      </c>
      <c r="O38" s="48">
        <f t="shared" si="8"/>
        <v>18.420290361178246</v>
      </c>
      <c r="P38" s="13">
        <v>87559105</v>
      </c>
      <c r="Q38" s="48">
        <f t="shared" si="9"/>
        <v>19.95321913631784</v>
      </c>
      <c r="R38" s="31">
        <f t="shared" si="11"/>
        <v>4195969869</v>
      </c>
      <c r="S38" s="48">
        <f t="shared" si="10"/>
        <v>6.210362886277636</v>
      </c>
      <c r="T38" s="27"/>
      <c r="U38" s="22"/>
      <c r="V38" s="27"/>
      <c r="W38" s="22"/>
      <c r="X38" s="27"/>
      <c r="Y38" s="22"/>
      <c r="Z38" s="27"/>
      <c r="AA38" s="22"/>
      <c r="AB38" s="27"/>
      <c r="AC38" s="22"/>
      <c r="AD38" s="27"/>
      <c r="AE38" s="22"/>
      <c r="AF38" s="27"/>
      <c r="AG38" s="22"/>
      <c r="AH38" s="27"/>
      <c r="AI38" s="22"/>
      <c r="AJ38" s="27"/>
      <c r="AK38" s="22"/>
      <c r="AL38" s="28"/>
    </row>
    <row r="39" spans="1:38" s="18" customFormat="1" ht="11.25">
      <c r="A39" s="18" t="s">
        <v>59</v>
      </c>
      <c r="B39" s="13">
        <v>62027135</v>
      </c>
      <c r="C39" s="48">
        <f t="shared" si="2"/>
        <v>-11.884214743555603</v>
      </c>
      <c r="D39" s="13">
        <v>45823574</v>
      </c>
      <c r="E39" s="48">
        <f t="shared" si="3"/>
        <v>28.260479347208985</v>
      </c>
      <c r="F39" s="13">
        <v>662633539</v>
      </c>
      <c r="G39" s="48">
        <f t="shared" si="4"/>
        <v>7.584145937582946</v>
      </c>
      <c r="H39" s="13">
        <v>52057370</v>
      </c>
      <c r="I39" s="48">
        <f t="shared" si="5"/>
        <v>-7.387199346333375</v>
      </c>
      <c r="J39" s="13">
        <v>117151666</v>
      </c>
      <c r="K39" s="48">
        <f t="shared" si="6"/>
        <v>19.51832240326698</v>
      </c>
      <c r="L39" s="13">
        <v>178764579</v>
      </c>
      <c r="M39" s="48">
        <f t="shared" si="7"/>
        <v>-2.355919898160863</v>
      </c>
      <c r="N39" s="13">
        <v>330064760</v>
      </c>
      <c r="O39" s="48">
        <f t="shared" si="8"/>
        <v>23.300927652578494</v>
      </c>
      <c r="P39" s="13">
        <f>75670739+1785732</f>
        <v>77456471</v>
      </c>
      <c r="Q39" s="48">
        <f t="shared" si="9"/>
        <v>-3.0676082176633486</v>
      </c>
      <c r="R39" s="31">
        <f t="shared" si="11"/>
        <v>4383991440</v>
      </c>
      <c r="S39" s="48">
        <f t="shared" si="10"/>
        <v>4.561696096809612</v>
      </c>
      <c r="T39" s="27"/>
      <c r="U39" s="22"/>
      <c r="V39" s="27"/>
      <c r="W39" s="22"/>
      <c r="X39" s="27"/>
      <c r="Y39" s="22"/>
      <c r="Z39" s="27"/>
      <c r="AA39" s="22"/>
      <c r="AB39" s="27"/>
      <c r="AC39" s="22"/>
      <c r="AD39" s="27"/>
      <c r="AE39" s="22"/>
      <c r="AF39" s="27"/>
      <c r="AG39" s="22"/>
      <c r="AH39" s="27"/>
      <c r="AI39" s="22"/>
      <c r="AJ39" s="27"/>
      <c r="AK39" s="22"/>
      <c r="AL39" s="28"/>
    </row>
    <row r="40" spans="1:38" s="18" customFormat="1" ht="11.25">
      <c r="A40" s="18" t="s">
        <v>21</v>
      </c>
      <c r="B40" s="13">
        <v>80645790</v>
      </c>
      <c r="C40" s="48">
        <f t="shared" si="2"/>
        <v>6.821447920640125</v>
      </c>
      <c r="D40" s="13">
        <v>45202134</v>
      </c>
      <c r="E40" s="48">
        <f t="shared" si="3"/>
        <v>1.6366231450112139</v>
      </c>
      <c r="F40" s="13">
        <v>673330781</v>
      </c>
      <c r="G40" s="48">
        <f t="shared" si="4"/>
        <v>21.151713348509006</v>
      </c>
      <c r="H40" s="13">
        <v>55859882</v>
      </c>
      <c r="I40" s="48">
        <f t="shared" si="5"/>
        <v>23.765062573385947</v>
      </c>
      <c r="J40" s="13">
        <v>140064392</v>
      </c>
      <c r="K40" s="48">
        <f t="shared" si="6"/>
        <v>29.47688338817457</v>
      </c>
      <c r="L40" s="13">
        <v>206693377</v>
      </c>
      <c r="M40" s="48">
        <f t="shared" si="7"/>
        <v>15.138325667541537</v>
      </c>
      <c r="N40" s="13">
        <v>340715341</v>
      </c>
      <c r="O40" s="48">
        <f t="shared" si="8"/>
        <v>4.639161358354542</v>
      </c>
      <c r="P40" s="13">
        <f>10336303+83365533</f>
        <v>93701836</v>
      </c>
      <c r="Q40" s="48">
        <f t="shared" si="9"/>
        <v>7.0155251130079535</v>
      </c>
      <c r="R40" s="31">
        <f t="shared" si="11"/>
        <v>4438000753</v>
      </c>
      <c r="S40" s="48">
        <f t="shared" si="10"/>
        <v>5.768174976377566</v>
      </c>
      <c r="T40" s="27"/>
      <c r="U40" s="22"/>
      <c r="V40" s="27"/>
      <c r="W40" s="22"/>
      <c r="X40" s="27"/>
      <c r="Y40" s="22"/>
      <c r="Z40" s="27"/>
      <c r="AA40" s="22"/>
      <c r="AB40" s="27"/>
      <c r="AC40" s="22"/>
      <c r="AD40" s="27"/>
      <c r="AE40" s="22"/>
      <c r="AF40" s="27"/>
      <c r="AG40" s="22"/>
      <c r="AH40" s="27"/>
      <c r="AI40" s="22"/>
      <c r="AJ40" s="27"/>
      <c r="AK40" s="22"/>
      <c r="AL40" s="28"/>
    </row>
    <row r="41" spans="1:38" s="18" customFormat="1" ht="11.25">
      <c r="A41" s="18" t="s">
        <v>61</v>
      </c>
      <c r="B41" s="13">
        <v>86291213</v>
      </c>
      <c r="C41" s="48">
        <f t="shared" si="2"/>
        <v>39.11848902903543</v>
      </c>
      <c r="D41" s="13">
        <v>42330792</v>
      </c>
      <c r="E41" s="48">
        <f t="shared" si="3"/>
        <v>-7.622238282854141</v>
      </c>
      <c r="F41" s="13">
        <v>737485170</v>
      </c>
      <c r="G41" s="48">
        <f t="shared" si="4"/>
        <v>11.296082464066174</v>
      </c>
      <c r="H41" s="13">
        <v>70395610</v>
      </c>
      <c r="I41" s="48">
        <f t="shared" si="5"/>
        <v>35.22698130927475</v>
      </c>
      <c r="J41" s="13">
        <v>150044405</v>
      </c>
      <c r="K41" s="48">
        <f t="shared" si="6"/>
        <v>28.077056112885344</v>
      </c>
      <c r="L41" s="13">
        <v>190811145</v>
      </c>
      <c r="M41" s="48">
        <f t="shared" si="7"/>
        <v>6.738788001173319</v>
      </c>
      <c r="N41" s="13">
        <v>354004016</v>
      </c>
      <c r="O41" s="48">
        <f t="shared" si="8"/>
        <v>7.252896673973936</v>
      </c>
      <c r="P41" s="13">
        <f>78878208+9196070</f>
        <v>88074278</v>
      </c>
      <c r="Q41" s="48">
        <f t="shared" si="9"/>
        <v>13.708095479846989</v>
      </c>
      <c r="R41" s="31">
        <f>SUM(P41,N41,L41,J41,P22,R22,B41,D41,F41,H41,B22)</f>
        <v>4833641439</v>
      </c>
      <c r="S41" s="48">
        <f t="shared" si="10"/>
        <v>10.25663496733469</v>
      </c>
      <c r="T41" s="27"/>
      <c r="U41" s="22"/>
      <c r="V41" s="27"/>
      <c r="W41" s="22"/>
      <c r="X41" s="27"/>
      <c r="Y41" s="22"/>
      <c r="Z41" s="27"/>
      <c r="AA41" s="22"/>
      <c r="AB41" s="27"/>
      <c r="AC41" s="22"/>
      <c r="AD41" s="27"/>
      <c r="AE41" s="22"/>
      <c r="AF41" s="27"/>
      <c r="AG41" s="22"/>
      <c r="AH41" s="27"/>
      <c r="AI41" s="22"/>
      <c r="AJ41" s="27"/>
      <c r="AK41" s="22"/>
      <c r="AL41" s="28"/>
    </row>
    <row r="42" spans="1:38" s="18" customFormat="1" ht="11.25">
      <c r="A42" s="18" t="s">
        <v>21</v>
      </c>
      <c r="B42" s="13">
        <v>94316817</v>
      </c>
      <c r="C42" s="48">
        <f t="shared" si="2"/>
        <v>16.951941322665448</v>
      </c>
      <c r="D42" s="13">
        <v>49364305</v>
      </c>
      <c r="E42" s="48">
        <f t="shared" si="3"/>
        <v>9.207908193006986</v>
      </c>
      <c r="F42" s="13">
        <v>648025373</v>
      </c>
      <c r="G42" s="48">
        <f t="shared" si="4"/>
        <v>-3.7582431568652765</v>
      </c>
      <c r="H42" s="13">
        <v>59378307</v>
      </c>
      <c r="I42" s="48">
        <f t="shared" si="5"/>
        <v>6.298661712174763</v>
      </c>
      <c r="J42" s="13">
        <v>152481175</v>
      </c>
      <c r="K42" s="48">
        <f t="shared" si="6"/>
        <v>8.86505329634386</v>
      </c>
      <c r="L42" s="13">
        <v>206885722</v>
      </c>
      <c r="M42" s="48">
        <f t="shared" si="7"/>
        <v>0.09305813412684927</v>
      </c>
      <c r="N42" s="13">
        <v>332113213</v>
      </c>
      <c r="O42" s="48">
        <f t="shared" si="8"/>
        <v>-2.524725765136594</v>
      </c>
      <c r="P42" s="13">
        <f>76407725+10568452</f>
        <v>86976177</v>
      </c>
      <c r="Q42" s="48">
        <f t="shared" si="9"/>
        <v>-7.177723817492748</v>
      </c>
      <c r="R42" s="31">
        <f t="shared" si="11"/>
        <v>4712427435</v>
      </c>
      <c r="S42" s="48">
        <f t="shared" si="10"/>
        <v>6.1835654672769635</v>
      </c>
      <c r="T42" s="27"/>
      <c r="U42" s="22"/>
      <c r="V42" s="27"/>
      <c r="W42" s="22"/>
      <c r="X42" s="27"/>
      <c r="Y42" s="22"/>
      <c r="Z42" s="27"/>
      <c r="AA42" s="22"/>
      <c r="AB42" s="27"/>
      <c r="AC42" s="22"/>
      <c r="AD42" s="27"/>
      <c r="AE42" s="22"/>
      <c r="AF42" s="27"/>
      <c r="AG42" s="22"/>
      <c r="AH42" s="27"/>
      <c r="AI42" s="22"/>
      <c r="AJ42" s="27"/>
      <c r="AK42" s="22"/>
      <c r="AL42" s="28"/>
    </row>
    <row r="43" spans="1:38" s="18" customFormat="1" ht="11.25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  <c r="N43" s="13"/>
      <c r="O43" s="14"/>
      <c r="P43" s="13"/>
      <c r="Q43" s="14"/>
      <c r="R43" s="31"/>
      <c r="S43" s="14"/>
      <c r="T43" s="27"/>
      <c r="U43" s="22"/>
      <c r="V43" s="27"/>
      <c r="W43" s="22"/>
      <c r="X43" s="27"/>
      <c r="Y43" s="22"/>
      <c r="Z43" s="27"/>
      <c r="AA43" s="22"/>
      <c r="AB43" s="27"/>
      <c r="AC43" s="22"/>
      <c r="AD43" s="27"/>
      <c r="AE43" s="22"/>
      <c r="AF43" s="27"/>
      <c r="AG43" s="22"/>
      <c r="AH43" s="27"/>
      <c r="AI43" s="22"/>
      <c r="AJ43" s="27"/>
      <c r="AK43" s="22"/>
      <c r="AL43" s="28"/>
    </row>
    <row r="44" spans="1:19" ht="11.25">
      <c r="A44" s="18"/>
      <c r="B44" s="27"/>
      <c r="C44" s="22"/>
      <c r="D44" s="27"/>
      <c r="E44" s="22"/>
      <c r="F44" s="27"/>
      <c r="G44" s="22"/>
      <c r="H44" s="27"/>
      <c r="I44" s="22"/>
      <c r="J44" s="27"/>
      <c r="K44" s="22"/>
      <c r="L44" s="27"/>
      <c r="M44" s="22"/>
      <c r="N44" s="27"/>
      <c r="O44" s="22"/>
      <c r="P44" s="27"/>
      <c r="Q44" s="22"/>
      <c r="R44" s="27"/>
      <c r="S44" s="22"/>
    </row>
    <row r="45" spans="1:37" ht="11.25">
      <c r="A45" s="34"/>
      <c r="B45" s="34"/>
      <c r="E45" s="25"/>
      <c r="G45" s="25"/>
      <c r="I45" s="25"/>
      <c r="K45" s="25"/>
      <c r="M45" s="25"/>
      <c r="O45" s="25"/>
      <c r="Q45" s="25"/>
      <c r="R45" s="24"/>
      <c r="S45" s="25"/>
      <c r="U45" s="25"/>
      <c r="W45" s="25"/>
      <c r="Y45" s="25"/>
      <c r="AA45" s="25"/>
      <c r="AC45" s="25"/>
      <c r="AE45" s="25"/>
      <c r="AG45" s="25"/>
      <c r="AI45" s="25"/>
      <c r="AK45" s="25"/>
    </row>
    <row r="46" spans="1:3" ht="11.25">
      <c r="A46" s="34"/>
      <c r="B46" s="34"/>
      <c r="C46" s="34"/>
    </row>
    <row r="47" spans="1:3" ht="11.25">
      <c r="A47" s="46" t="s">
        <v>37</v>
      </c>
      <c r="B47" s="34"/>
      <c r="C47" s="34"/>
    </row>
    <row r="48" spans="1:37" ht="11.25">
      <c r="A48" s="46" t="s">
        <v>51</v>
      </c>
      <c r="B48" s="28"/>
      <c r="D48" s="28"/>
      <c r="E48" s="25"/>
      <c r="F48" s="28"/>
      <c r="G48" s="25"/>
      <c r="H48" s="28"/>
      <c r="I48" s="25"/>
      <c r="J48" s="28"/>
      <c r="K48" s="25"/>
      <c r="L48" s="28"/>
      <c r="M48" s="25"/>
      <c r="N48" s="28"/>
      <c r="O48" s="25"/>
      <c r="P48" s="28"/>
      <c r="Q48" s="25"/>
      <c r="R48" s="28"/>
      <c r="S48" s="25"/>
      <c r="T48" s="28"/>
      <c r="U48" s="25"/>
      <c r="V48" s="28"/>
      <c r="W48" s="25"/>
      <c r="X48" s="28"/>
      <c r="Y48" s="25"/>
      <c r="Z48" s="28"/>
      <c r="AA48" s="25"/>
      <c r="AB48" s="28"/>
      <c r="AC48" s="25"/>
      <c r="AD48" s="28"/>
      <c r="AE48" s="25"/>
      <c r="AF48" s="28"/>
      <c r="AG48" s="25"/>
      <c r="AH48" s="28"/>
      <c r="AI48" s="25"/>
      <c r="AJ48" s="28"/>
      <c r="AK48" s="2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8" r:id="rId2"/>
  <headerFooter alignWithMargins="0">
    <oddFooter>&amp;C&amp;F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showGridLines="0" zoomScalePageLayoutView="0" workbookViewId="0" topLeftCell="A1">
      <selection activeCell="C28" sqref="C28"/>
    </sheetView>
  </sheetViews>
  <sheetFormatPr defaultColWidth="9.140625" defaultRowHeight="12.75"/>
  <cols>
    <col min="1" max="1" width="13.140625" style="25" customWidth="1"/>
    <col min="2" max="2" width="13.8515625" style="25" customWidth="1"/>
    <col min="3" max="3" width="7.140625" style="25" customWidth="1"/>
    <col min="4" max="4" width="13.8515625" style="25" customWidth="1"/>
    <col min="5" max="5" width="7.140625" style="26" customWidth="1"/>
    <col min="6" max="6" width="13.8515625" style="25" customWidth="1"/>
    <col min="7" max="7" width="7.140625" style="26" customWidth="1"/>
    <col min="8" max="8" width="12.28125" style="25" customWidth="1"/>
    <col min="9" max="9" width="7.140625" style="26" customWidth="1"/>
    <col min="10" max="10" width="12.28125" style="25" customWidth="1"/>
    <col min="11" max="11" width="7.140625" style="26" customWidth="1"/>
    <col min="12" max="12" width="12.28125" style="25" customWidth="1"/>
    <col min="13" max="13" width="7.140625" style="26" customWidth="1"/>
    <col min="14" max="14" width="12.28125" style="25" customWidth="1"/>
    <col min="15" max="15" width="7.140625" style="26" customWidth="1"/>
    <col min="16" max="16" width="12.28125" style="35" customWidth="1"/>
    <col min="17" max="17" width="7.140625" style="36" customWidth="1"/>
    <col min="18" max="18" width="13.00390625" style="25" customWidth="1"/>
    <col min="19" max="19" width="7.140625" style="26" customWidth="1"/>
    <col min="20" max="20" width="13.57421875" style="25" customWidth="1"/>
    <col min="21" max="21" width="7.140625" style="26" customWidth="1"/>
    <col min="22" max="22" width="13.00390625" style="25" customWidth="1"/>
    <col min="23" max="23" width="7.140625" style="26" customWidth="1"/>
    <col min="24" max="24" width="12.28125" style="25" customWidth="1"/>
    <col min="25" max="25" width="7.140625" style="26" customWidth="1"/>
    <col min="26" max="26" width="11.28125" style="25" customWidth="1"/>
    <col min="27" max="27" width="7.140625" style="26" customWidth="1"/>
    <col min="28" max="28" width="13.00390625" style="25" customWidth="1"/>
    <col min="29" max="29" width="7.140625" style="26" customWidth="1"/>
    <col min="30" max="30" width="12.28125" style="25" customWidth="1"/>
    <col min="31" max="31" width="7.140625" style="26" customWidth="1"/>
    <col min="32" max="32" width="13.28125" style="25" customWidth="1"/>
    <col min="33" max="33" width="7.140625" style="26" customWidth="1"/>
    <col min="34" max="34" width="13.00390625" style="25" customWidth="1"/>
    <col min="35" max="35" width="7.140625" style="26" customWidth="1"/>
    <col min="36" max="36" width="14.421875" style="25" customWidth="1"/>
    <col min="37" max="37" width="7.140625" style="26" customWidth="1"/>
    <col min="38" max="16384" width="9.140625" style="25" customWidth="1"/>
  </cols>
  <sheetData>
    <row r="1" spans="1:14" ht="15">
      <c r="A1" s="38" t="s">
        <v>0</v>
      </c>
      <c r="B1" s="39"/>
      <c r="C1" s="39"/>
      <c r="D1" s="39"/>
      <c r="E1" s="40"/>
      <c r="F1" s="39"/>
      <c r="G1" s="40"/>
      <c r="H1" s="39"/>
      <c r="I1" s="40"/>
      <c r="J1" s="39"/>
      <c r="K1" s="40"/>
      <c r="L1" s="39"/>
      <c r="M1" s="40"/>
      <c r="N1" s="41"/>
    </row>
    <row r="2" spans="1:14" ht="15">
      <c r="A2" s="42" t="s">
        <v>40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3"/>
      <c r="M2" s="44"/>
      <c r="N2" s="45"/>
    </row>
    <row r="3" spans="1:37" s="5" customFormat="1" ht="11.25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</row>
    <row r="4" spans="1:19" s="5" customFormat="1" ht="22.5">
      <c r="A4" s="6" t="s">
        <v>2</v>
      </c>
      <c r="B4" s="7" t="s">
        <v>3</v>
      </c>
      <c r="C4" s="8" t="s">
        <v>4</v>
      </c>
      <c r="D4" s="7" t="s">
        <v>5</v>
      </c>
      <c r="E4" s="8" t="s">
        <v>4</v>
      </c>
      <c r="F4" s="7" t="s">
        <v>6</v>
      </c>
      <c r="G4" s="8" t="s">
        <v>4</v>
      </c>
      <c r="H4" s="7" t="s">
        <v>7</v>
      </c>
      <c r="I4" s="8" t="s">
        <v>4</v>
      </c>
      <c r="J4" s="7" t="s">
        <v>8</v>
      </c>
      <c r="K4" s="8" t="s">
        <v>4</v>
      </c>
      <c r="L4" s="7" t="s">
        <v>9</v>
      </c>
      <c r="M4" s="8" t="s">
        <v>4</v>
      </c>
      <c r="N4" s="7" t="s">
        <v>10</v>
      </c>
      <c r="O4" s="8" t="s">
        <v>4</v>
      </c>
      <c r="P4" s="9" t="s">
        <v>11</v>
      </c>
      <c r="Q4" s="8" t="s">
        <v>4</v>
      </c>
      <c r="R4" s="10" t="s">
        <v>12</v>
      </c>
      <c r="S4" s="11" t="s">
        <v>4</v>
      </c>
    </row>
    <row r="5" spans="1:19" s="15" customFormat="1" ht="11.25">
      <c r="A5" s="16" t="s">
        <v>19</v>
      </c>
      <c r="B5" s="13">
        <v>7277568565</v>
      </c>
      <c r="C5" s="14"/>
      <c r="D5" s="13">
        <v>2226147021</v>
      </c>
      <c r="E5" s="14"/>
      <c r="F5" s="13">
        <v>1560870157</v>
      </c>
      <c r="G5" s="14"/>
      <c r="H5" s="13">
        <v>937879303</v>
      </c>
      <c r="I5" s="14"/>
      <c r="J5" s="13">
        <v>720672526</v>
      </c>
      <c r="K5" s="14"/>
      <c r="L5" s="13">
        <v>401330066</v>
      </c>
      <c r="M5" s="14"/>
      <c r="N5" s="13">
        <v>367627606</v>
      </c>
      <c r="O5" s="14"/>
      <c r="P5" s="13">
        <v>500195097</v>
      </c>
      <c r="Q5" s="14"/>
      <c r="R5" s="13">
        <v>770759991</v>
      </c>
      <c r="S5" s="14"/>
    </row>
    <row r="6" spans="1:19" s="15" customFormat="1" ht="11.25">
      <c r="A6" s="16" t="s">
        <v>41</v>
      </c>
      <c r="B6" s="13">
        <v>7507725832</v>
      </c>
      <c r="C6" s="14">
        <f>B6/B5*100-100</f>
        <v>3.1625571775014976</v>
      </c>
      <c r="D6" s="13">
        <v>2168561534</v>
      </c>
      <c r="E6" s="14">
        <f>D6/D5*100-100</f>
        <v>-2.58677825214491</v>
      </c>
      <c r="F6" s="13">
        <v>1668534383</v>
      </c>
      <c r="G6" s="14">
        <f>F6/F5*100-100</f>
        <v>6.897705457251561</v>
      </c>
      <c r="H6" s="13">
        <v>947267919</v>
      </c>
      <c r="I6" s="14">
        <f>H6/H5*100-100</f>
        <v>1.0010473597155283</v>
      </c>
      <c r="J6" s="13">
        <v>773740243</v>
      </c>
      <c r="K6" s="14">
        <f>J6/J5*100-100</f>
        <v>7.3636381415211645</v>
      </c>
      <c r="L6" s="13">
        <v>433764084</v>
      </c>
      <c r="M6" s="14">
        <f>L6/L5*100-100</f>
        <v>8.081631740991966</v>
      </c>
      <c r="N6" s="13">
        <v>389239869</v>
      </c>
      <c r="O6" s="14">
        <f>N6/N5*100-100</f>
        <v>5.878846595649833</v>
      </c>
      <c r="P6" s="13">
        <v>592128395</v>
      </c>
      <c r="Q6" s="14">
        <f>P6/P5*100-100</f>
        <v>18.379488034046048</v>
      </c>
      <c r="R6" s="13">
        <v>986720404</v>
      </c>
      <c r="S6" s="14">
        <f>R6/R5*100-100</f>
        <v>28.01915194375988</v>
      </c>
    </row>
    <row r="7" spans="1:19" s="15" customFormat="1" ht="11.25">
      <c r="A7" s="16" t="s">
        <v>42</v>
      </c>
      <c r="B7" s="13">
        <f>B13+B14</f>
        <v>7626964145.4</v>
      </c>
      <c r="C7" s="14">
        <f>B7/B6*100-100</f>
        <v>1.5882081480889099</v>
      </c>
      <c r="D7" s="13">
        <f>D13+D14</f>
        <v>2095732412.5</v>
      </c>
      <c r="E7" s="14">
        <f>D7/D6*100-100</f>
        <v>-3.358406960473175</v>
      </c>
      <c r="F7" s="13">
        <f>F13+F14</f>
        <v>1739286245.9099998</v>
      </c>
      <c r="G7" s="14">
        <f>F7/F6*100-100</f>
        <v>4.240359900932276</v>
      </c>
      <c r="H7" s="13">
        <f>H13+H14</f>
        <v>1027836243.52</v>
      </c>
      <c r="I7" s="14">
        <f>H7/H6*100-100</f>
        <v>8.505336547769218</v>
      </c>
      <c r="J7" s="13">
        <f>J13+J14</f>
        <v>791264186.94</v>
      </c>
      <c r="K7" s="14">
        <f>J7/J6*100-100</f>
        <v>2.264835530856587</v>
      </c>
      <c r="L7" s="13">
        <f>L13+L14</f>
        <v>429690355.35</v>
      </c>
      <c r="M7" s="14">
        <f>L7/L6*100-100</f>
        <v>-0.9391576666361203</v>
      </c>
      <c r="N7" s="13">
        <f>N13+N14</f>
        <v>374015613.3</v>
      </c>
      <c r="O7" s="14">
        <f>N7/N6*100-100</f>
        <v>-3.911278600291581</v>
      </c>
      <c r="P7" s="13">
        <f>P13+P14</f>
        <v>589015782.6600001</v>
      </c>
      <c r="Q7" s="14">
        <f>P7/P6*100-100</f>
        <v>-0.5256651034274284</v>
      </c>
      <c r="R7" s="13">
        <f>R13+R14</f>
        <v>1275613379.02</v>
      </c>
      <c r="S7" s="14">
        <f>R7/R6*100-100</f>
        <v>29.278098826058113</v>
      </c>
    </row>
    <row r="8" spans="2:19" s="15" customFormat="1" ht="11.25">
      <c r="B8" s="17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</row>
    <row r="9" spans="1:19" s="15" customFormat="1" ht="11.25">
      <c r="A9" s="18" t="s">
        <v>27</v>
      </c>
      <c r="B9" s="17">
        <v>3580190065</v>
      </c>
      <c r="C9" s="14"/>
      <c r="D9" s="13">
        <v>1080090515</v>
      </c>
      <c r="E9" s="14"/>
      <c r="F9" s="13">
        <v>803942405</v>
      </c>
      <c r="G9" s="14"/>
      <c r="H9" s="13">
        <v>426867135</v>
      </c>
      <c r="I9" s="14"/>
      <c r="J9" s="13">
        <v>361191950</v>
      </c>
      <c r="K9" s="14"/>
      <c r="L9" s="13">
        <v>202951040</v>
      </c>
      <c r="M9" s="14"/>
      <c r="N9" s="13">
        <v>181786417</v>
      </c>
      <c r="O9" s="14"/>
      <c r="P9" s="13">
        <v>245826977</v>
      </c>
      <c r="Q9" s="14"/>
      <c r="R9" s="13">
        <v>376095599</v>
      </c>
      <c r="S9" s="14"/>
    </row>
    <row r="10" spans="1:19" s="15" customFormat="1" ht="11.25">
      <c r="A10" s="18" t="s">
        <v>21</v>
      </c>
      <c r="B10" s="17">
        <f>B5-B9</f>
        <v>3697378500</v>
      </c>
      <c r="C10" s="14"/>
      <c r="D10" s="17">
        <f aca="true" t="shared" si="0" ref="D10:R10">D5-D9</f>
        <v>1146056506</v>
      </c>
      <c r="E10" s="14"/>
      <c r="F10" s="17">
        <f t="shared" si="0"/>
        <v>756927752</v>
      </c>
      <c r="G10" s="14"/>
      <c r="H10" s="17">
        <f t="shared" si="0"/>
        <v>511012168</v>
      </c>
      <c r="I10" s="17"/>
      <c r="J10" s="17">
        <f t="shared" si="0"/>
        <v>359480576</v>
      </c>
      <c r="K10" s="14"/>
      <c r="L10" s="17">
        <f t="shared" si="0"/>
        <v>198379026</v>
      </c>
      <c r="M10" s="14"/>
      <c r="N10" s="17">
        <f t="shared" si="0"/>
        <v>185841189</v>
      </c>
      <c r="O10" s="14"/>
      <c r="P10" s="17">
        <f t="shared" si="0"/>
        <v>254368120</v>
      </c>
      <c r="Q10" s="14"/>
      <c r="R10" s="17">
        <f t="shared" si="0"/>
        <v>394664392</v>
      </c>
      <c r="S10" s="14"/>
    </row>
    <row r="11" spans="1:19" s="15" customFormat="1" ht="11.25">
      <c r="A11" s="18" t="s">
        <v>43</v>
      </c>
      <c r="B11" s="17">
        <v>3739283641</v>
      </c>
      <c r="C11" s="14">
        <f>B11/B9*100-100</f>
        <v>4.443718716369332</v>
      </c>
      <c r="D11" s="13">
        <v>1062719770</v>
      </c>
      <c r="E11" s="14">
        <f>D11/D9*100-100</f>
        <v>-1.6082675256156733</v>
      </c>
      <c r="F11" s="13">
        <v>845152186</v>
      </c>
      <c r="G11" s="14">
        <f>F11/F9*100-100</f>
        <v>5.125961852951406</v>
      </c>
      <c r="H11" s="13">
        <v>479695887</v>
      </c>
      <c r="I11" s="14">
        <f>H11/H9*100-100</f>
        <v>12.375923951137622</v>
      </c>
      <c r="J11" s="13">
        <v>392891327</v>
      </c>
      <c r="K11" s="14">
        <f>J11/J9*100-100</f>
        <v>8.776324333917202</v>
      </c>
      <c r="L11" s="13">
        <v>219706081</v>
      </c>
      <c r="M11" s="14">
        <f>L11/L9*100-100</f>
        <v>8.255705908183558</v>
      </c>
      <c r="N11" s="13">
        <v>187733599</v>
      </c>
      <c r="O11" s="14">
        <f>N11/N9*100-100</f>
        <v>3.2715216560982014</v>
      </c>
      <c r="P11" s="13">
        <v>287961081</v>
      </c>
      <c r="Q11" s="14">
        <f>P11/P9*100-100</f>
        <v>17.139739712130947</v>
      </c>
      <c r="R11" s="13">
        <v>448562806</v>
      </c>
      <c r="S11" s="14">
        <f>R11/R9*100-100</f>
        <v>19.268294335983455</v>
      </c>
    </row>
    <row r="12" spans="1:19" s="15" customFormat="1" ht="11.25">
      <c r="A12" s="18" t="s">
        <v>21</v>
      </c>
      <c r="B12" s="17">
        <f>B6-B11</f>
        <v>3768442191</v>
      </c>
      <c r="C12" s="14">
        <f>B12/B10*100-100</f>
        <v>1.9220020617310354</v>
      </c>
      <c r="D12" s="17">
        <f aca="true" t="shared" si="1" ref="D12:R12">D6-D11</f>
        <v>1105841764</v>
      </c>
      <c r="E12" s="14">
        <f>D12/D10*100-100</f>
        <v>-3.5089667734062004</v>
      </c>
      <c r="F12" s="17">
        <f t="shared" si="1"/>
        <v>823382197</v>
      </c>
      <c r="G12" s="14">
        <f>F12/F10*100-100</f>
        <v>8.779496434687474</v>
      </c>
      <c r="H12" s="17">
        <f t="shared" si="1"/>
        <v>467572032</v>
      </c>
      <c r="I12" s="47">
        <f>H12/H10*100-100</f>
        <v>-8.500802665818313</v>
      </c>
      <c r="J12" s="17">
        <f t="shared" si="1"/>
        <v>380848916</v>
      </c>
      <c r="K12" s="14">
        <f>J12/J10*100-100</f>
        <v>5.944226594318124</v>
      </c>
      <c r="L12" s="17">
        <f t="shared" si="1"/>
        <v>214058003</v>
      </c>
      <c r="M12" s="14">
        <f>L12/L10*100-100</f>
        <v>7.903545710522849</v>
      </c>
      <c r="N12" s="17">
        <f t="shared" si="1"/>
        <v>201506270</v>
      </c>
      <c r="O12" s="14">
        <f>N12/N10*100-100</f>
        <v>8.4292836718775</v>
      </c>
      <c r="P12" s="17">
        <f t="shared" si="1"/>
        <v>304167314</v>
      </c>
      <c r="Q12" s="14">
        <f>P12/P10*100-100</f>
        <v>19.57760823172339</v>
      </c>
      <c r="R12" s="17">
        <f t="shared" si="1"/>
        <v>538157598</v>
      </c>
      <c r="S12" s="14">
        <f>R12/R10*100-100</f>
        <v>36.35828539606379</v>
      </c>
    </row>
    <row r="13" spans="1:19" s="15" customFormat="1" ht="11.25">
      <c r="A13" s="18" t="s">
        <v>44</v>
      </c>
      <c r="B13" s="17">
        <v>3761690164</v>
      </c>
      <c r="C13" s="14">
        <f>B13/B11*100-100</f>
        <v>0.5992196674871053</v>
      </c>
      <c r="D13" s="17">
        <v>1002584208</v>
      </c>
      <c r="E13" s="14">
        <f>D13/D11*100-100</f>
        <v>-5.6586471521086</v>
      </c>
      <c r="F13" s="17">
        <v>900915394</v>
      </c>
      <c r="G13" s="14">
        <f>F13/F11*100-100</f>
        <v>6.598007900082507</v>
      </c>
      <c r="H13" s="17">
        <v>482269815</v>
      </c>
      <c r="I13" s="47">
        <f>H13/H11*100-100</f>
        <v>0.5365749571248699</v>
      </c>
      <c r="J13" s="17">
        <v>391295471</v>
      </c>
      <c r="K13" s="14">
        <f>J13/J11*100-100</f>
        <v>-0.40618254726707903</v>
      </c>
      <c r="L13" s="17">
        <v>217386665</v>
      </c>
      <c r="M13" s="14">
        <f>L13/L11*100-100</f>
        <v>-1.0556903975725618</v>
      </c>
      <c r="N13" s="17">
        <v>187085568</v>
      </c>
      <c r="O13" s="14">
        <f>N13/N11*100-100</f>
        <v>-0.34518647884654285</v>
      </c>
      <c r="P13" s="17">
        <v>308862311</v>
      </c>
      <c r="Q13" s="14">
        <f>P13/P11*100-100</f>
        <v>7.258352388252078</v>
      </c>
      <c r="R13" s="17">
        <v>610911961</v>
      </c>
      <c r="S13" s="14">
        <f>R13/R11*100-100</f>
        <v>36.193182499397864</v>
      </c>
    </row>
    <row r="14" spans="1:19" s="15" customFormat="1" ht="11.25">
      <c r="A14" s="18" t="s">
        <v>21</v>
      </c>
      <c r="B14" s="17">
        <v>3865273981.4</v>
      </c>
      <c r="C14" s="14">
        <f>B14/B12*100-100</f>
        <v>2.5695442703422344</v>
      </c>
      <c r="D14" s="17">
        <v>1093148204.5</v>
      </c>
      <c r="E14" s="14">
        <f>D14/D12*100-100</f>
        <v>-1.147863999464576</v>
      </c>
      <c r="F14" s="17">
        <v>838370851.91</v>
      </c>
      <c r="G14" s="14">
        <f>F14/F12*100-100</f>
        <v>1.8203763652664833</v>
      </c>
      <c r="H14" s="17">
        <v>545566428.52</v>
      </c>
      <c r="I14" s="47">
        <f>H14/H12*100-100</f>
        <v>16.680723221700305</v>
      </c>
      <c r="J14" s="17">
        <v>399968715.94</v>
      </c>
      <c r="K14" s="14">
        <f>J14/J12*100-100</f>
        <v>5.02031097812025</v>
      </c>
      <c r="L14" s="17">
        <v>212303690.35</v>
      </c>
      <c r="M14" s="14">
        <f>L14/L12*100-100</f>
        <v>-0.8195501338018119</v>
      </c>
      <c r="N14" s="17">
        <v>186930045.3</v>
      </c>
      <c r="O14" s="14">
        <f>N14/N12*100-100</f>
        <v>-7.233633325652846</v>
      </c>
      <c r="P14" s="17">
        <v>280153471.66</v>
      </c>
      <c r="Q14" s="14">
        <f>P14/P12*100-100</f>
        <v>-7.894945063031983</v>
      </c>
      <c r="R14" s="17">
        <v>664701418.02</v>
      </c>
      <c r="S14" s="14">
        <f>R14/R12*100-100</f>
        <v>23.514268030458993</v>
      </c>
    </row>
    <row r="15" spans="1:38" s="18" customFormat="1" ht="12.75">
      <c r="A15"/>
      <c r="B15" s="27"/>
      <c r="C15" s="22"/>
      <c r="D15" s="27"/>
      <c r="E15" s="22"/>
      <c r="F15" s="27"/>
      <c r="G15" s="22"/>
      <c r="H15" s="27"/>
      <c r="I15" s="22"/>
      <c r="J15" s="27"/>
      <c r="K15" s="22"/>
      <c r="L15" s="27"/>
      <c r="M15" s="22"/>
      <c r="N15" s="27"/>
      <c r="O15" s="22"/>
      <c r="P15" s="27"/>
      <c r="Q15" s="22"/>
      <c r="R15" s="27"/>
      <c r="S15" s="22"/>
      <c r="T15" s="27"/>
      <c r="U15" s="22"/>
      <c r="V15" s="27"/>
      <c r="W15" s="22"/>
      <c r="X15" s="27"/>
      <c r="Y15" s="22"/>
      <c r="Z15" s="27"/>
      <c r="AA15" s="22"/>
      <c r="AB15" s="27"/>
      <c r="AC15" s="22"/>
      <c r="AD15" s="27"/>
      <c r="AE15" s="22"/>
      <c r="AF15" s="27"/>
      <c r="AG15" s="22"/>
      <c r="AH15" s="27"/>
      <c r="AI15" s="22"/>
      <c r="AJ15" s="27"/>
      <c r="AK15" s="22"/>
      <c r="AL15" s="28"/>
    </row>
    <row r="16" spans="1:38" s="18" customFormat="1" ht="22.5">
      <c r="A16" s="6" t="s">
        <v>2</v>
      </c>
      <c r="B16" s="7" t="s">
        <v>28</v>
      </c>
      <c r="C16" s="11" t="s">
        <v>4</v>
      </c>
      <c r="D16" s="7" t="s">
        <v>29</v>
      </c>
      <c r="E16" s="11" t="s">
        <v>4</v>
      </c>
      <c r="F16" s="29" t="s">
        <v>30</v>
      </c>
      <c r="G16" s="11" t="s">
        <v>4</v>
      </c>
      <c r="H16" s="7" t="s">
        <v>31</v>
      </c>
      <c r="I16" s="11" t="s">
        <v>4</v>
      </c>
      <c r="J16" s="7" t="s">
        <v>32</v>
      </c>
      <c r="K16" s="11" t="s">
        <v>4</v>
      </c>
      <c r="L16" s="7" t="s">
        <v>33</v>
      </c>
      <c r="M16" s="11" t="s">
        <v>4</v>
      </c>
      <c r="N16" s="7" t="s">
        <v>34</v>
      </c>
      <c r="O16" s="11" t="s">
        <v>4</v>
      </c>
      <c r="P16" s="7" t="s">
        <v>45</v>
      </c>
      <c r="Q16" s="8" t="s">
        <v>4</v>
      </c>
      <c r="R16" s="7" t="s">
        <v>36</v>
      </c>
      <c r="S16" s="30" t="s">
        <v>4</v>
      </c>
      <c r="T16" s="27"/>
      <c r="U16" s="22"/>
      <c r="V16" s="27"/>
      <c r="W16" s="22"/>
      <c r="X16" s="27"/>
      <c r="Y16" s="22"/>
      <c r="Z16" s="27"/>
      <c r="AA16" s="22"/>
      <c r="AB16" s="27"/>
      <c r="AC16" s="22"/>
      <c r="AD16" s="27"/>
      <c r="AE16" s="22"/>
      <c r="AF16" s="27"/>
      <c r="AG16" s="22"/>
      <c r="AH16" s="27"/>
      <c r="AI16" s="22"/>
      <c r="AJ16" s="27"/>
      <c r="AK16" s="22"/>
      <c r="AL16" s="28"/>
    </row>
    <row r="17" spans="1:38" s="18" customFormat="1" ht="11.25">
      <c r="A17" s="16" t="s">
        <v>19</v>
      </c>
      <c r="B17" s="27">
        <v>263520164</v>
      </c>
      <c r="C17" s="14"/>
      <c r="D17" s="27">
        <v>127287236</v>
      </c>
      <c r="E17" s="14"/>
      <c r="F17" s="27">
        <v>1461903371</v>
      </c>
      <c r="G17" s="14"/>
      <c r="H17" s="27">
        <v>140843017</v>
      </c>
      <c r="I17" s="14"/>
      <c r="J17" s="27">
        <v>398867694</v>
      </c>
      <c r="K17" s="14"/>
      <c r="L17" s="27">
        <v>505438947</v>
      </c>
      <c r="M17" s="14"/>
      <c r="N17" s="27">
        <v>848277806</v>
      </c>
      <c r="O17" s="14"/>
      <c r="P17" s="27">
        <f>224463880+871024</f>
        <v>225334904</v>
      </c>
      <c r="Q17" s="14"/>
      <c r="R17" s="31">
        <f>B5+P5+R5+B17+D17+F17+H17+J17+L17+N17+P17</f>
        <v>12519996792</v>
      </c>
      <c r="S17" s="14"/>
      <c r="T17" s="27"/>
      <c r="U17" s="22"/>
      <c r="V17" s="27"/>
      <c r="W17" s="22"/>
      <c r="X17" s="27"/>
      <c r="Y17" s="22"/>
      <c r="Z17" s="27"/>
      <c r="AA17" s="22"/>
      <c r="AB17" s="27"/>
      <c r="AC17" s="22"/>
      <c r="AD17" s="27"/>
      <c r="AE17" s="22"/>
      <c r="AF17" s="27"/>
      <c r="AG17" s="22"/>
      <c r="AH17" s="27"/>
      <c r="AI17" s="22"/>
      <c r="AJ17" s="27"/>
      <c r="AK17" s="22"/>
      <c r="AL17" s="28"/>
    </row>
    <row r="18" spans="1:38" s="18" customFormat="1" ht="11.25">
      <c r="A18" s="16" t="s">
        <v>41</v>
      </c>
      <c r="B18" s="27">
        <v>272796403</v>
      </c>
      <c r="C18" s="14">
        <f>B18/B17*100-100</f>
        <v>3.5201249343484733</v>
      </c>
      <c r="D18" s="27">
        <v>140424381</v>
      </c>
      <c r="E18" s="14">
        <f>D18/D17*100-100</f>
        <v>10.3208659507698</v>
      </c>
      <c r="F18" s="27">
        <v>1903251324</v>
      </c>
      <c r="G18" s="14">
        <f>F18/F17*100-100</f>
        <v>30.18995384750366</v>
      </c>
      <c r="H18" s="27">
        <v>178204763</v>
      </c>
      <c r="I18" s="14">
        <f>H18/H17*100-100</f>
        <v>26.527226408391982</v>
      </c>
      <c r="J18" s="27">
        <v>562350253</v>
      </c>
      <c r="K18" s="14">
        <f>J18/J17*100-100</f>
        <v>40.98666336211224</v>
      </c>
      <c r="L18" s="27">
        <v>666500715</v>
      </c>
      <c r="M18" s="14">
        <f>L18/L17*100-100</f>
        <v>31.865721657575392</v>
      </c>
      <c r="N18" s="27">
        <v>1205629527</v>
      </c>
      <c r="O18" s="14">
        <f>N18/N17*100-100</f>
        <v>42.12673235965815</v>
      </c>
      <c r="P18" s="27">
        <f>263383511+1555960</f>
        <v>264939471</v>
      </c>
      <c r="Q18" s="14">
        <f>P18/P17*100-100</f>
        <v>17.575868761104132</v>
      </c>
      <c r="R18" s="31">
        <f>B6+P6+R6+B18+D18+F18+H18+J18+L18+N18+P18</f>
        <v>14280671468</v>
      </c>
      <c r="S18" s="14">
        <f>R18/R17*100-100</f>
        <v>14.062900376500352</v>
      </c>
      <c r="T18" s="27"/>
      <c r="U18" s="22"/>
      <c r="V18" s="27"/>
      <c r="W18" s="22"/>
      <c r="X18" s="27"/>
      <c r="Y18" s="22"/>
      <c r="Z18" s="27"/>
      <c r="AA18" s="22"/>
      <c r="AB18" s="27"/>
      <c r="AC18" s="22"/>
      <c r="AD18" s="27"/>
      <c r="AE18" s="22"/>
      <c r="AF18" s="27"/>
      <c r="AG18" s="22"/>
      <c r="AH18" s="27"/>
      <c r="AI18" s="22"/>
      <c r="AJ18" s="27"/>
      <c r="AK18" s="22"/>
      <c r="AL18" s="28"/>
    </row>
    <row r="19" spans="1:38" s="18" customFormat="1" ht="11.25">
      <c r="A19" s="16" t="s">
        <v>42</v>
      </c>
      <c r="B19" s="27">
        <f>B25+B26</f>
        <v>288893399.71000004</v>
      </c>
      <c r="C19" s="14">
        <f>B19/B18*100-100</f>
        <v>5.900736422100124</v>
      </c>
      <c r="D19" s="27">
        <f>D25+D26</f>
        <v>143824214.3</v>
      </c>
      <c r="E19" s="14">
        <f>D19/D18*100-100</f>
        <v>2.4211132538301854</v>
      </c>
      <c r="F19" s="27">
        <f>F25+F26</f>
        <v>2055397319.83</v>
      </c>
      <c r="G19" s="14">
        <f>F19/F18*100-100</f>
        <v>7.994004465486967</v>
      </c>
      <c r="H19" s="27">
        <f>H25+H26</f>
        <v>190498256.78</v>
      </c>
      <c r="I19" s="14">
        <f>H19/H18*100-100</f>
        <v>6.898521438509491</v>
      </c>
      <c r="J19" s="27">
        <f>J25+J26</f>
        <v>527095978.22</v>
      </c>
      <c r="K19" s="14">
        <f>J19/J18*100-100</f>
        <v>-6.269095566673457</v>
      </c>
      <c r="L19" s="27">
        <f>L25+L26</f>
        <v>700017875.47</v>
      </c>
      <c r="M19" s="14">
        <f>L19/L18*100-100</f>
        <v>5.028825883555129</v>
      </c>
      <c r="N19" s="27">
        <f>N25+N26</f>
        <v>1258898715.4099998</v>
      </c>
      <c r="O19" s="14">
        <f>N19/N18*100-100</f>
        <v>4.418371250623807</v>
      </c>
      <c r="P19" s="27">
        <f>P25+P26</f>
        <v>241814202.04000002</v>
      </c>
      <c r="Q19" s="14">
        <f>P19/P18*100-100</f>
        <v>-8.72851027924034</v>
      </c>
      <c r="R19" s="31">
        <f>B7+P7+R7+B19+D19+F19+H19+J19+L19+N19+P19</f>
        <v>14898033268.84</v>
      </c>
      <c r="S19" s="14">
        <f>R19/R18*100-100</f>
        <v>4.323058633646042</v>
      </c>
      <c r="T19" s="27"/>
      <c r="U19" s="22"/>
      <c r="V19" s="27"/>
      <c r="W19" s="22"/>
      <c r="X19" s="27"/>
      <c r="Y19" s="22"/>
      <c r="Z19" s="27"/>
      <c r="AA19" s="22"/>
      <c r="AB19" s="27"/>
      <c r="AC19" s="22"/>
      <c r="AD19" s="27"/>
      <c r="AE19" s="22"/>
      <c r="AF19" s="27"/>
      <c r="AG19" s="22"/>
      <c r="AH19" s="27"/>
      <c r="AI19" s="22"/>
      <c r="AJ19" s="27"/>
      <c r="AK19" s="22"/>
      <c r="AL19" s="28"/>
    </row>
    <row r="20" spans="1:38" s="18" customFormat="1" ht="11.25">
      <c r="A20" s="16"/>
      <c r="B20" s="27"/>
      <c r="C20" s="14"/>
      <c r="D20" s="27"/>
      <c r="E20" s="14"/>
      <c r="F20" s="27"/>
      <c r="G20" s="14"/>
      <c r="H20" s="27"/>
      <c r="I20" s="14"/>
      <c r="J20" s="27"/>
      <c r="K20" s="14"/>
      <c r="L20" s="27"/>
      <c r="M20" s="14"/>
      <c r="N20" s="27"/>
      <c r="O20" s="14"/>
      <c r="P20" s="27"/>
      <c r="Q20" s="14"/>
      <c r="R20" s="31"/>
      <c r="S20" s="14"/>
      <c r="T20" s="27"/>
      <c r="U20" s="22"/>
      <c r="V20" s="27"/>
      <c r="W20" s="22"/>
      <c r="X20" s="27"/>
      <c r="Y20" s="22"/>
      <c r="Z20" s="27"/>
      <c r="AA20" s="22"/>
      <c r="AB20" s="27"/>
      <c r="AC20" s="22"/>
      <c r="AD20" s="27"/>
      <c r="AE20" s="22"/>
      <c r="AF20" s="27"/>
      <c r="AG20" s="22"/>
      <c r="AH20" s="27"/>
      <c r="AI20" s="22"/>
      <c r="AJ20" s="27"/>
      <c r="AK20" s="22"/>
      <c r="AL20" s="28"/>
    </row>
    <row r="21" spans="1:38" s="18" customFormat="1" ht="11.25">
      <c r="A21" s="18" t="s">
        <v>27</v>
      </c>
      <c r="B21" s="27">
        <v>128236970</v>
      </c>
      <c r="C21" s="14"/>
      <c r="D21" s="27">
        <v>65218712</v>
      </c>
      <c r="E21" s="14"/>
      <c r="F21" s="27">
        <v>726108080</v>
      </c>
      <c r="G21" s="14"/>
      <c r="H21" s="27">
        <v>70702549</v>
      </c>
      <c r="I21" s="14"/>
      <c r="J21" s="27">
        <v>183422306</v>
      </c>
      <c r="K21" s="14"/>
      <c r="L21" s="27">
        <v>228828515</v>
      </c>
      <c r="M21" s="14"/>
      <c r="N21" s="27">
        <v>360441326</v>
      </c>
      <c r="O21" s="14"/>
      <c r="P21" s="27">
        <f>101928575+349130</f>
        <v>102277705</v>
      </c>
      <c r="Q21" s="14"/>
      <c r="R21" s="31">
        <f>B9+P9+R9+B21+D21+F21+H21+J21+L21+N21+P21</f>
        <v>6067348804</v>
      </c>
      <c r="S21" s="14"/>
      <c r="T21" s="27"/>
      <c r="U21" s="22"/>
      <c r="V21" s="27"/>
      <c r="W21" s="22"/>
      <c r="X21" s="27"/>
      <c r="Y21" s="22"/>
      <c r="Z21" s="27"/>
      <c r="AA21" s="22"/>
      <c r="AB21" s="27"/>
      <c r="AC21" s="22"/>
      <c r="AD21" s="27"/>
      <c r="AE21" s="22"/>
      <c r="AF21" s="27"/>
      <c r="AG21" s="22"/>
      <c r="AH21" s="27"/>
      <c r="AI21" s="22"/>
      <c r="AJ21" s="27"/>
      <c r="AK21" s="22"/>
      <c r="AL21" s="28"/>
    </row>
    <row r="22" spans="1:38" s="18" customFormat="1" ht="11.25">
      <c r="A22" s="18" t="s">
        <v>21</v>
      </c>
      <c r="B22" s="27">
        <f>B17-B21</f>
        <v>135283194</v>
      </c>
      <c r="C22" s="14"/>
      <c r="D22" s="27">
        <f aca="true" t="shared" si="2" ref="D22:R22">D17-D21</f>
        <v>62068524</v>
      </c>
      <c r="E22" s="14"/>
      <c r="F22" s="27">
        <f t="shared" si="2"/>
        <v>735795291</v>
      </c>
      <c r="G22" s="14"/>
      <c r="H22" s="27">
        <f t="shared" si="2"/>
        <v>70140468</v>
      </c>
      <c r="I22" s="14"/>
      <c r="J22" s="27">
        <f t="shared" si="2"/>
        <v>215445388</v>
      </c>
      <c r="K22" s="14"/>
      <c r="L22" s="27">
        <f t="shared" si="2"/>
        <v>276610432</v>
      </c>
      <c r="M22" s="14"/>
      <c r="N22" s="27">
        <f t="shared" si="2"/>
        <v>487836480</v>
      </c>
      <c r="O22" s="14"/>
      <c r="P22" s="27">
        <f t="shared" si="2"/>
        <v>123057199</v>
      </c>
      <c r="Q22" s="14"/>
      <c r="R22" s="27">
        <f t="shared" si="2"/>
        <v>6452647988</v>
      </c>
      <c r="S22" s="14"/>
      <c r="T22" s="27"/>
      <c r="U22" s="22"/>
      <c r="V22" s="27"/>
      <c r="W22" s="22"/>
      <c r="X22" s="27"/>
      <c r="Y22" s="22"/>
      <c r="Z22" s="27"/>
      <c r="AA22" s="22"/>
      <c r="AB22" s="27"/>
      <c r="AC22" s="22"/>
      <c r="AD22" s="27"/>
      <c r="AE22" s="22"/>
      <c r="AF22" s="27"/>
      <c r="AG22" s="22"/>
      <c r="AH22" s="27"/>
      <c r="AI22" s="22"/>
      <c r="AJ22" s="27"/>
      <c r="AK22" s="22"/>
      <c r="AL22" s="28"/>
    </row>
    <row r="23" spans="1:38" s="18" customFormat="1" ht="11.25">
      <c r="A23" s="18" t="s">
        <v>43</v>
      </c>
      <c r="B23" s="27">
        <v>135123647</v>
      </c>
      <c r="C23" s="14">
        <f>B23/B21*100-100</f>
        <v>5.3702742664615215</v>
      </c>
      <c r="D23" s="27">
        <v>66237806</v>
      </c>
      <c r="E23" s="14">
        <f>D23/D21*100-100</f>
        <v>1.5625791567303509</v>
      </c>
      <c r="F23" s="27">
        <v>958974075</v>
      </c>
      <c r="G23" s="14">
        <f>F23/F21*100-100</f>
        <v>32.07043158092938</v>
      </c>
      <c r="H23" s="27">
        <v>90562141</v>
      </c>
      <c r="I23" s="14">
        <f>H23/H21*100-100</f>
        <v>28.088933540430077</v>
      </c>
      <c r="J23" s="27">
        <v>248631936</v>
      </c>
      <c r="K23" s="14">
        <f>J23/J21*100-100</f>
        <v>35.551635688191595</v>
      </c>
      <c r="L23" s="27">
        <v>327269920</v>
      </c>
      <c r="M23" s="14">
        <f>L23/L21*100-100</f>
        <v>43.019728113867274</v>
      </c>
      <c r="N23" s="27">
        <v>576846636</v>
      </c>
      <c r="O23" s="14">
        <f>N23/N21*100-100</f>
        <v>60.03898398709143</v>
      </c>
      <c r="P23" s="27">
        <f>144789502+694210</f>
        <v>145483712</v>
      </c>
      <c r="Q23" s="14">
        <f>P23/P21*100-100</f>
        <v>42.243817457577876</v>
      </c>
      <c r="R23" s="31">
        <f>B11+P11+R11+B23+D23+F23+H23+J23+L23+N23+P23</f>
        <v>7024937401</v>
      </c>
      <c r="S23" s="14">
        <f>R23/R21*100-100</f>
        <v>15.782652818125342</v>
      </c>
      <c r="T23" s="27"/>
      <c r="U23" s="22"/>
      <c r="V23" s="27"/>
      <c r="W23" s="22"/>
      <c r="X23" s="27"/>
      <c r="Y23" s="22"/>
      <c r="Z23" s="27"/>
      <c r="AA23" s="22"/>
      <c r="AB23" s="27"/>
      <c r="AC23" s="22"/>
      <c r="AD23" s="27"/>
      <c r="AE23" s="22"/>
      <c r="AF23" s="27"/>
      <c r="AG23" s="22"/>
      <c r="AH23" s="27"/>
      <c r="AI23" s="22"/>
      <c r="AJ23" s="27"/>
      <c r="AK23" s="22"/>
      <c r="AL23" s="28"/>
    </row>
    <row r="24" spans="1:38" s="18" customFormat="1" ht="11.25">
      <c r="A24" s="18" t="s">
        <v>21</v>
      </c>
      <c r="B24" s="27">
        <f>B18-B23</f>
        <v>137672756</v>
      </c>
      <c r="C24" s="14">
        <f>B24/B22*100-100</f>
        <v>1.7663406143412033</v>
      </c>
      <c r="D24" s="27">
        <f aca="true" t="shared" si="3" ref="D24:R24">D18-D23</f>
        <v>74186575</v>
      </c>
      <c r="E24" s="14">
        <f>D24/D22*100-100</f>
        <v>19.52366548945163</v>
      </c>
      <c r="F24" s="27">
        <f t="shared" si="3"/>
        <v>944277249</v>
      </c>
      <c r="G24" s="14">
        <f>F24/F22*100-100</f>
        <v>28.334233794382897</v>
      </c>
      <c r="H24" s="27">
        <f t="shared" si="3"/>
        <v>87642622</v>
      </c>
      <c r="I24" s="14">
        <f>H24/H22*100-100</f>
        <v>24.953004305588593</v>
      </c>
      <c r="J24" s="27">
        <f t="shared" si="3"/>
        <v>313718317</v>
      </c>
      <c r="K24" s="14">
        <f>J24/J22*100-100</f>
        <v>45.613846697892654</v>
      </c>
      <c r="L24" s="27">
        <f t="shared" si="3"/>
        <v>339230795</v>
      </c>
      <c r="M24" s="14">
        <f>L24/L22*100-100</f>
        <v>22.63846759040527</v>
      </c>
      <c r="N24" s="27">
        <f t="shared" si="3"/>
        <v>628782891</v>
      </c>
      <c r="O24" s="14">
        <f>N24/N22*100-100</f>
        <v>28.892142506439853</v>
      </c>
      <c r="P24" s="27">
        <f t="shared" si="3"/>
        <v>119455759</v>
      </c>
      <c r="Q24" s="14">
        <f>P24/P22*100-100</f>
        <v>-2.9266390176815236</v>
      </c>
      <c r="R24" s="27">
        <f t="shared" si="3"/>
        <v>7255734067</v>
      </c>
      <c r="S24" s="14">
        <f>R24/R22*100-100</f>
        <v>12.445837437490795</v>
      </c>
      <c r="T24" s="27"/>
      <c r="U24" s="22"/>
      <c r="V24" s="27"/>
      <c r="W24" s="22"/>
      <c r="X24" s="27"/>
      <c r="Y24" s="22"/>
      <c r="Z24" s="27"/>
      <c r="AA24" s="22"/>
      <c r="AB24" s="27"/>
      <c r="AC24" s="22"/>
      <c r="AD24" s="27"/>
      <c r="AE24" s="22"/>
      <c r="AF24" s="27"/>
      <c r="AG24" s="22"/>
      <c r="AH24" s="27"/>
      <c r="AI24" s="22"/>
      <c r="AJ24" s="27"/>
      <c r="AK24" s="22"/>
      <c r="AL24" s="28"/>
    </row>
    <row r="25" spans="1:38" s="18" customFormat="1" ht="11.25">
      <c r="A25" s="18" t="s">
        <v>44</v>
      </c>
      <c r="B25" s="27">
        <v>140848463</v>
      </c>
      <c r="C25" s="14">
        <f>B25/B23*100-100</f>
        <v>4.236724013229164</v>
      </c>
      <c r="D25" s="27">
        <v>67752334</v>
      </c>
      <c r="E25" s="14">
        <f>D25/D23*100-100</f>
        <v>2.286500854210047</v>
      </c>
      <c r="F25" s="27">
        <v>1068837069</v>
      </c>
      <c r="G25" s="14">
        <f>F25/F23*100-100</f>
        <v>11.456304905844306</v>
      </c>
      <c r="H25" s="27">
        <v>105158475</v>
      </c>
      <c r="I25" s="14">
        <f>H25/H23*100-100</f>
        <v>16.11747893636924</v>
      </c>
      <c r="J25" s="27">
        <v>267432166</v>
      </c>
      <c r="K25" s="14">
        <f>J25/J23*100-100</f>
        <v>7.561470301224688</v>
      </c>
      <c r="L25" s="27">
        <v>310200970</v>
      </c>
      <c r="M25" s="14">
        <f>L25/L23*100-100</f>
        <v>-5.215557237890977</v>
      </c>
      <c r="N25" s="27">
        <v>625003543</v>
      </c>
      <c r="O25" s="14">
        <f>N25/N23*100-100</f>
        <v>8.348303343490414</v>
      </c>
      <c r="P25" s="27">
        <v>113477111</v>
      </c>
      <c r="Q25" s="14">
        <f>P25/P23*100-100</f>
        <v>-22.00012672208969</v>
      </c>
      <c r="R25" s="27">
        <v>7380174567</v>
      </c>
      <c r="S25" s="14">
        <f>R25/R23*100-100</f>
        <v>5.05680187199151</v>
      </c>
      <c r="T25" s="27"/>
      <c r="U25" s="22"/>
      <c r="V25" s="27"/>
      <c r="W25" s="22"/>
      <c r="X25" s="27"/>
      <c r="Y25" s="22"/>
      <c r="Z25" s="27"/>
      <c r="AA25" s="22"/>
      <c r="AB25" s="27"/>
      <c r="AC25" s="22"/>
      <c r="AD25" s="27"/>
      <c r="AE25" s="22"/>
      <c r="AF25" s="27"/>
      <c r="AG25" s="22"/>
      <c r="AH25" s="27"/>
      <c r="AI25" s="22"/>
      <c r="AJ25" s="27"/>
      <c r="AK25" s="22"/>
      <c r="AL25" s="28"/>
    </row>
    <row r="26" spans="1:38" s="18" customFormat="1" ht="11.25">
      <c r="A26" s="18" t="s">
        <v>21</v>
      </c>
      <c r="B26" s="27">
        <v>148044936.71</v>
      </c>
      <c r="C26" s="14">
        <f>B26/B24*100-100</f>
        <v>7.533938457656802</v>
      </c>
      <c r="D26" s="27">
        <v>76071880.3</v>
      </c>
      <c r="E26" s="14">
        <f>D26/D24*100-100</f>
        <v>2.5413025200314223</v>
      </c>
      <c r="F26" s="27">
        <v>986560250.83</v>
      </c>
      <c r="G26" s="14">
        <f>F26/F24*100-100</f>
        <v>4.477816433126833</v>
      </c>
      <c r="H26" s="27">
        <v>85339781.78</v>
      </c>
      <c r="I26" s="14">
        <f>H26/H24*100-100</f>
        <v>-2.6275346029697744</v>
      </c>
      <c r="J26" s="27">
        <v>259663812.22</v>
      </c>
      <c r="K26" s="14">
        <f>J26/J24*100-100</f>
        <v>-17.23026736114997</v>
      </c>
      <c r="L26" s="27">
        <v>389816905.47</v>
      </c>
      <c r="M26" s="14">
        <f>L26/L24*100-100</f>
        <v>14.912004221196966</v>
      </c>
      <c r="N26" s="27">
        <v>633895172.41</v>
      </c>
      <c r="O26" s="14">
        <f>N26/N24*100-100</f>
        <v>0.8130439748240406</v>
      </c>
      <c r="P26" s="27">
        <v>128337091.04</v>
      </c>
      <c r="Q26" s="14">
        <f>P26/P24*100-100</f>
        <v>7.43482952546475</v>
      </c>
      <c r="R26" s="27">
        <v>7517858701.9</v>
      </c>
      <c r="S26" s="14">
        <f>R26/R24*100-100</f>
        <v>3.6126549358000375</v>
      </c>
      <c r="T26" s="27"/>
      <c r="U26" s="22"/>
      <c r="V26" s="27"/>
      <c r="W26" s="22"/>
      <c r="X26" s="27"/>
      <c r="Y26" s="22"/>
      <c r="Z26" s="27"/>
      <c r="AA26" s="22"/>
      <c r="AB26" s="27"/>
      <c r="AC26" s="22"/>
      <c r="AD26" s="27"/>
      <c r="AE26" s="22"/>
      <c r="AF26" s="27"/>
      <c r="AG26" s="22"/>
      <c r="AH26" s="27"/>
      <c r="AI26" s="22"/>
      <c r="AJ26" s="27"/>
      <c r="AK26" s="22"/>
      <c r="AL26" s="28"/>
    </row>
    <row r="27" spans="1:38" s="18" customFormat="1" ht="11.25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3"/>
      <c r="O27" s="14"/>
      <c r="P27" s="13"/>
      <c r="Q27" s="14"/>
      <c r="R27" s="31"/>
      <c r="S27" s="14"/>
      <c r="T27" s="27"/>
      <c r="U27" s="22"/>
      <c r="V27" s="27"/>
      <c r="W27" s="22"/>
      <c r="X27" s="27"/>
      <c r="Y27" s="22"/>
      <c r="Z27" s="27"/>
      <c r="AA27" s="22"/>
      <c r="AB27" s="27"/>
      <c r="AC27" s="22"/>
      <c r="AD27" s="27"/>
      <c r="AE27" s="22"/>
      <c r="AF27" s="27"/>
      <c r="AG27" s="22"/>
      <c r="AH27" s="27"/>
      <c r="AI27" s="22"/>
      <c r="AJ27" s="27"/>
      <c r="AK27" s="22"/>
      <c r="AL27" s="28"/>
    </row>
    <row r="28" spans="1:19" ht="11.25">
      <c r="A28" s="18"/>
      <c r="B28" s="27"/>
      <c r="C28" s="22"/>
      <c r="D28" s="27"/>
      <c r="E28" s="22"/>
      <c r="F28" s="27"/>
      <c r="G28" s="22"/>
      <c r="H28" s="27"/>
      <c r="I28" s="22"/>
      <c r="J28" s="27"/>
      <c r="K28" s="22"/>
      <c r="L28" s="27"/>
      <c r="M28" s="22"/>
      <c r="N28" s="27"/>
      <c r="O28" s="22"/>
      <c r="P28" s="27"/>
      <c r="Q28" s="22"/>
      <c r="R28" s="27"/>
      <c r="S28" s="22"/>
    </row>
    <row r="29" spans="1:37" ht="11.25">
      <c r="A29" s="34"/>
      <c r="B29" s="34"/>
      <c r="E29" s="25"/>
      <c r="G29" s="25"/>
      <c r="I29" s="25"/>
      <c r="K29" s="25"/>
      <c r="M29" s="25"/>
      <c r="O29" s="25"/>
      <c r="Q29" s="25"/>
      <c r="R29" s="24"/>
      <c r="S29" s="25"/>
      <c r="U29" s="25"/>
      <c r="W29" s="25"/>
      <c r="Y29" s="25"/>
      <c r="AA29" s="25"/>
      <c r="AC29" s="25"/>
      <c r="AE29" s="25"/>
      <c r="AG29" s="25"/>
      <c r="AI29" s="25"/>
      <c r="AK29" s="25"/>
    </row>
    <row r="30" spans="1:3" ht="11.25">
      <c r="A30" s="34"/>
      <c r="B30" s="34"/>
      <c r="C30" s="34"/>
    </row>
    <row r="31" spans="1:3" ht="11.25">
      <c r="A31" s="46" t="s">
        <v>37</v>
      </c>
      <c r="B31" s="34"/>
      <c r="C31" s="34"/>
    </row>
    <row r="32" spans="1:37" ht="11.25">
      <c r="A32" s="46" t="s">
        <v>46</v>
      </c>
      <c r="B32" s="28"/>
      <c r="D32" s="28"/>
      <c r="E32" s="25"/>
      <c r="F32" s="28"/>
      <c r="G32" s="25"/>
      <c r="H32" s="28"/>
      <c r="I32" s="25"/>
      <c r="J32" s="28"/>
      <c r="K32" s="25"/>
      <c r="L32" s="28"/>
      <c r="M32" s="25"/>
      <c r="N32" s="28"/>
      <c r="O32" s="25"/>
      <c r="P32" s="28"/>
      <c r="Q32" s="25"/>
      <c r="R32" s="28"/>
      <c r="S32" s="25"/>
      <c r="T32" s="28"/>
      <c r="U32" s="25"/>
      <c r="V32" s="28"/>
      <c r="W32" s="25"/>
      <c r="X32" s="28"/>
      <c r="Y32" s="25"/>
      <c r="Z32" s="28"/>
      <c r="AA32" s="25"/>
      <c r="AB32" s="28"/>
      <c r="AC32" s="25"/>
      <c r="AD32" s="28"/>
      <c r="AE32" s="25"/>
      <c r="AF32" s="28"/>
      <c r="AG32" s="25"/>
      <c r="AH32" s="28"/>
      <c r="AI32" s="25"/>
      <c r="AJ32" s="28"/>
      <c r="AK32" s="25"/>
    </row>
    <row r="33" ht="11.25">
      <c r="A33" s="25" t="s">
        <v>47</v>
      </c>
    </row>
  </sheetData>
  <sheetProtection/>
  <printOptions/>
  <pageMargins left="0.1968503937007874" right="0.1968503937007874" top="0.5905511811023623" bottom="0.5905511811023623" header="0.5118110236220472" footer="0.1968503937007874"/>
  <pageSetup fitToHeight="1" fitToWidth="1" horizontalDpi="600" verticalDpi="600" orientation="landscape" paperSize="9" scale="75" r:id="rId2"/>
  <headerFooter alignWithMargins="0">
    <oddFooter>&amp;CExptot&amp;RPagina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showGridLines="0" zoomScale="90" zoomScaleNormal="90" zoomScalePageLayoutView="0" workbookViewId="0" topLeftCell="A1">
      <pane xSplit="1" ySplit="4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:A26"/>
    </sheetView>
  </sheetViews>
  <sheetFormatPr defaultColWidth="9.140625" defaultRowHeight="12.75"/>
  <cols>
    <col min="1" max="1" width="13.140625" style="25" customWidth="1"/>
    <col min="2" max="2" width="13.8515625" style="25" customWidth="1"/>
    <col min="3" max="3" width="7.140625" style="25" customWidth="1"/>
    <col min="4" max="4" width="13.8515625" style="25" customWidth="1"/>
    <col min="5" max="5" width="7.140625" style="26" customWidth="1"/>
    <col min="6" max="6" width="13.8515625" style="25" customWidth="1"/>
    <col min="7" max="7" width="7.140625" style="26" customWidth="1"/>
    <col min="8" max="8" width="12.28125" style="25" customWidth="1"/>
    <col min="9" max="9" width="7.140625" style="26" customWidth="1"/>
    <col min="10" max="10" width="12.28125" style="25" customWidth="1"/>
    <col min="11" max="11" width="7.140625" style="26" customWidth="1"/>
    <col min="12" max="12" width="12.28125" style="25" customWidth="1"/>
    <col min="13" max="13" width="7.140625" style="26" customWidth="1"/>
    <col min="14" max="14" width="12.28125" style="25" customWidth="1"/>
    <col min="15" max="15" width="7.140625" style="26" customWidth="1"/>
    <col min="16" max="16" width="12.28125" style="35" customWidth="1"/>
    <col min="17" max="17" width="7.140625" style="36" customWidth="1"/>
    <col min="18" max="18" width="13.00390625" style="25" customWidth="1"/>
    <col min="19" max="19" width="7.140625" style="26" customWidth="1"/>
    <col min="20" max="20" width="13.57421875" style="25" customWidth="1"/>
    <col min="21" max="21" width="7.140625" style="26" customWidth="1"/>
    <col min="22" max="22" width="13.00390625" style="25" customWidth="1"/>
    <col min="23" max="23" width="7.140625" style="26" customWidth="1"/>
    <col min="24" max="24" width="12.28125" style="25" customWidth="1"/>
    <col min="25" max="25" width="7.140625" style="26" customWidth="1"/>
    <col min="26" max="26" width="11.28125" style="25" customWidth="1"/>
    <col min="27" max="27" width="7.140625" style="26" customWidth="1"/>
    <col min="28" max="28" width="13.00390625" style="25" customWidth="1"/>
    <col min="29" max="29" width="7.140625" style="26" customWidth="1"/>
    <col min="30" max="30" width="12.28125" style="25" customWidth="1"/>
    <col min="31" max="31" width="7.140625" style="26" customWidth="1"/>
    <col min="32" max="32" width="13.28125" style="25" customWidth="1"/>
    <col min="33" max="33" width="7.140625" style="26" customWidth="1"/>
    <col min="34" max="34" width="13.00390625" style="25" customWidth="1"/>
    <col min="35" max="35" width="7.140625" style="26" customWidth="1"/>
    <col min="36" max="36" width="14.421875" style="25" customWidth="1"/>
    <col min="37" max="37" width="7.140625" style="26" customWidth="1"/>
    <col min="38" max="16384" width="9.140625" style="25" customWidth="1"/>
  </cols>
  <sheetData>
    <row r="1" spans="1:12" ht="15">
      <c r="A1" s="38" t="s">
        <v>0</v>
      </c>
      <c r="B1" s="39"/>
      <c r="C1" s="39"/>
      <c r="D1" s="39"/>
      <c r="E1" s="40"/>
      <c r="F1" s="39"/>
      <c r="G1" s="40"/>
      <c r="H1" s="39"/>
      <c r="I1" s="40"/>
      <c r="J1" s="39"/>
      <c r="K1" s="40"/>
      <c r="L1" s="41"/>
    </row>
    <row r="2" spans="1:12" ht="15">
      <c r="A2" s="42" t="s">
        <v>1</v>
      </c>
      <c r="B2" s="43"/>
      <c r="C2" s="43"/>
      <c r="D2" s="43"/>
      <c r="E2" s="44"/>
      <c r="F2" s="43"/>
      <c r="G2" s="44"/>
      <c r="H2" s="43"/>
      <c r="I2" s="44"/>
      <c r="J2" s="43"/>
      <c r="K2" s="44"/>
      <c r="L2" s="45"/>
    </row>
    <row r="3" spans="1:37" s="5" customFormat="1" ht="11.25">
      <c r="A3" s="1"/>
      <c r="B3" s="1"/>
      <c r="C3" s="1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</row>
    <row r="4" spans="1:19" s="5" customFormat="1" ht="22.5">
      <c r="A4" s="6" t="s">
        <v>2</v>
      </c>
      <c r="B4" s="7" t="s">
        <v>3</v>
      </c>
      <c r="C4" s="8" t="s">
        <v>4</v>
      </c>
      <c r="D4" s="7" t="s">
        <v>5</v>
      </c>
      <c r="E4" s="8" t="s">
        <v>4</v>
      </c>
      <c r="F4" s="7" t="s">
        <v>6</v>
      </c>
      <c r="G4" s="8" t="s">
        <v>4</v>
      </c>
      <c r="H4" s="7" t="s">
        <v>7</v>
      </c>
      <c r="I4" s="8" t="s">
        <v>4</v>
      </c>
      <c r="J4" s="7" t="s">
        <v>8</v>
      </c>
      <c r="K4" s="8" t="s">
        <v>4</v>
      </c>
      <c r="L4" s="7" t="s">
        <v>9</v>
      </c>
      <c r="M4" s="8" t="s">
        <v>4</v>
      </c>
      <c r="N4" s="7" t="s">
        <v>10</v>
      </c>
      <c r="O4" s="8" t="s">
        <v>4</v>
      </c>
      <c r="P4" s="9" t="s">
        <v>11</v>
      </c>
      <c r="Q4" s="8" t="s">
        <v>4</v>
      </c>
      <c r="R4" s="10" t="s">
        <v>12</v>
      </c>
      <c r="S4" s="11" t="s">
        <v>4</v>
      </c>
    </row>
    <row r="5" spans="1:19" s="15" customFormat="1" ht="11.25">
      <c r="A5" s="12" t="s">
        <v>13</v>
      </c>
      <c r="B5" s="13">
        <v>4331515317</v>
      </c>
      <c r="C5" s="14">
        <v>17.3</v>
      </c>
      <c r="D5" s="13">
        <v>1715705301</v>
      </c>
      <c r="E5" s="14">
        <v>19</v>
      </c>
      <c r="F5" s="13">
        <v>1131878373</v>
      </c>
      <c r="G5" s="14">
        <v>15.5</v>
      </c>
      <c r="H5" s="13">
        <v>348875053</v>
      </c>
      <c r="I5" s="14">
        <v>21.9</v>
      </c>
      <c r="J5" s="13">
        <v>328570554</v>
      </c>
      <c r="K5" s="14">
        <v>16.3</v>
      </c>
      <c r="L5" s="13">
        <v>285408738</v>
      </c>
      <c r="M5" s="14">
        <v>14.2</v>
      </c>
      <c r="N5" s="13">
        <v>195904020</v>
      </c>
      <c r="O5" s="14">
        <v>18.2</v>
      </c>
      <c r="P5" s="13">
        <v>736545867</v>
      </c>
      <c r="Q5" s="14">
        <v>25.6</v>
      </c>
      <c r="R5" s="13">
        <v>320591604</v>
      </c>
      <c r="S5" s="14">
        <v>29.9</v>
      </c>
    </row>
    <row r="6" spans="1:19" s="15" customFormat="1" ht="11.25">
      <c r="A6" s="16" t="s">
        <v>14</v>
      </c>
      <c r="B6" s="13">
        <v>4989139648</v>
      </c>
      <c r="C6" s="14">
        <f aca="true" t="shared" si="0" ref="C6:C11">(B6-B5)*100/B5</f>
        <v>15.182315722606505</v>
      </c>
      <c r="D6" s="13">
        <v>1966395796</v>
      </c>
      <c r="E6" s="14">
        <f aca="true" t="shared" si="1" ref="E6:E11">(D6-D5)*100/D5</f>
        <v>14.61151252804808</v>
      </c>
      <c r="F6" s="13">
        <v>1262035748</v>
      </c>
      <c r="G6" s="14">
        <f aca="true" t="shared" si="2" ref="G6:G11">(F6-F5)*100/F5</f>
        <v>11.49923685307485</v>
      </c>
      <c r="H6" s="13">
        <v>441455806</v>
      </c>
      <c r="I6" s="14">
        <f aca="true" t="shared" si="3" ref="I6:I11">(H6-H5)*100/H5</f>
        <v>26.536936993313763</v>
      </c>
      <c r="J6" s="13">
        <v>381191487</v>
      </c>
      <c r="K6" s="14">
        <f aca="true" t="shared" si="4" ref="K6:K11">(J6-J5)*100/J5</f>
        <v>16.01510919326021</v>
      </c>
      <c r="L6" s="13">
        <v>337036076</v>
      </c>
      <c r="M6" s="14">
        <f aca="true" t="shared" si="5" ref="M6:M11">(L6-L5)*100/L5</f>
        <v>18.088912890957108</v>
      </c>
      <c r="N6" s="13">
        <v>231754870</v>
      </c>
      <c r="O6" s="14">
        <f aca="true" t="shared" si="6" ref="O6:O11">(N6-N5)*100/N5</f>
        <v>18.30021150153019</v>
      </c>
      <c r="P6" s="13">
        <v>723082199</v>
      </c>
      <c r="Q6" s="14">
        <f aca="true" t="shared" si="7" ref="Q6:Q11">(P6-P5)*100/P5</f>
        <v>-1.8279469892130968</v>
      </c>
      <c r="R6" s="13">
        <v>412594456</v>
      </c>
      <c r="S6" s="14">
        <f aca="true" t="shared" si="8" ref="S6:S11">(R6-R5)*100/R5</f>
        <v>28.69783576740207</v>
      </c>
    </row>
    <row r="7" spans="1:19" s="15" customFormat="1" ht="11.25">
      <c r="A7" s="16" t="s">
        <v>15</v>
      </c>
      <c r="B7" s="13">
        <v>6294131140</v>
      </c>
      <c r="C7" s="14">
        <f t="shared" si="0"/>
        <v>26.156643912004604</v>
      </c>
      <c r="D7" s="13">
        <v>2286784450</v>
      </c>
      <c r="E7" s="14">
        <f t="shared" si="1"/>
        <v>16.293192583696918</v>
      </c>
      <c r="F7" s="13">
        <v>1456160187</v>
      </c>
      <c r="G7" s="14">
        <f t="shared" si="2"/>
        <v>15.381849468815522</v>
      </c>
      <c r="H7" s="13">
        <v>572821724</v>
      </c>
      <c r="I7" s="14">
        <f t="shared" si="3"/>
        <v>29.757433522122483</v>
      </c>
      <c r="J7" s="13">
        <v>471707397</v>
      </c>
      <c r="K7" s="14">
        <f t="shared" si="4"/>
        <v>23.745522417713385</v>
      </c>
      <c r="L7" s="13">
        <v>369995530</v>
      </c>
      <c r="M7" s="14">
        <f t="shared" si="5"/>
        <v>9.779206544049606</v>
      </c>
      <c r="N7" s="13">
        <v>269609154</v>
      </c>
      <c r="O7" s="14">
        <f t="shared" si="6"/>
        <v>16.333759890353114</v>
      </c>
      <c r="P7" s="13">
        <v>525596400</v>
      </c>
      <c r="Q7" s="14">
        <f t="shared" si="7"/>
        <v>-27.31166653986458</v>
      </c>
      <c r="R7" s="13">
        <v>584920546</v>
      </c>
      <c r="S7" s="14">
        <f t="shared" si="8"/>
        <v>41.766457957447685</v>
      </c>
    </row>
    <row r="8" spans="1:19" s="15" customFormat="1" ht="11.25">
      <c r="A8" s="16" t="s">
        <v>16</v>
      </c>
      <c r="B8" s="13">
        <f>272256153+367217850+68195561+45199107+1280098060+2019010126+243284138+39852553+267141324+98559176+736203371+416838178+90001098</f>
        <v>5943856695</v>
      </c>
      <c r="C8" s="14">
        <f t="shared" si="0"/>
        <v>-5.5650960745632005</v>
      </c>
      <c r="D8" s="13">
        <v>2019010126</v>
      </c>
      <c r="E8" s="14">
        <f t="shared" si="1"/>
        <v>-11.709644256151908</v>
      </c>
      <c r="F8" s="13">
        <v>1280098060</v>
      </c>
      <c r="G8" s="14">
        <f t="shared" si="2"/>
        <v>-12.090848834613825</v>
      </c>
      <c r="H8" s="13">
        <v>736203371</v>
      </c>
      <c r="I8" s="14">
        <f t="shared" si="3"/>
        <v>28.522250493418788</v>
      </c>
      <c r="J8" s="13">
        <v>416838178</v>
      </c>
      <c r="K8" s="14">
        <f t="shared" si="4"/>
        <v>-11.632045490268197</v>
      </c>
      <c r="L8" s="13">
        <v>367217850</v>
      </c>
      <c r="M8" s="14">
        <f t="shared" si="5"/>
        <v>-0.7507333939953275</v>
      </c>
      <c r="N8" s="13">
        <v>267141324</v>
      </c>
      <c r="O8" s="14">
        <f t="shared" si="6"/>
        <v>-0.9153361313540563</v>
      </c>
      <c r="P8" s="13">
        <v>511465565</v>
      </c>
      <c r="Q8" s="14">
        <f t="shared" si="7"/>
        <v>-2.6885334450540377</v>
      </c>
      <c r="R8" s="13">
        <v>670835991</v>
      </c>
      <c r="S8" s="14">
        <f t="shared" si="8"/>
        <v>14.688395815044595</v>
      </c>
    </row>
    <row r="9" spans="1:19" s="15" customFormat="1" ht="11.25">
      <c r="A9" s="16" t="s">
        <v>17</v>
      </c>
      <c r="B9" s="13">
        <v>6193731413</v>
      </c>
      <c r="C9" s="14">
        <f t="shared" si="0"/>
        <v>4.203915585821505</v>
      </c>
      <c r="D9" s="13">
        <v>2057923255</v>
      </c>
      <c r="E9" s="14">
        <f t="shared" si="1"/>
        <v>1.9273369904832265</v>
      </c>
      <c r="F9" s="13">
        <v>1303597180</v>
      </c>
      <c r="G9" s="14">
        <f t="shared" si="2"/>
        <v>1.835728116016362</v>
      </c>
      <c r="H9" s="13">
        <v>817389734</v>
      </c>
      <c r="I9" s="14">
        <f t="shared" si="3"/>
        <v>11.027708673721897</v>
      </c>
      <c r="J9" s="13">
        <v>438874398</v>
      </c>
      <c r="K9" s="14">
        <f t="shared" si="4"/>
        <v>5.286516725922356</v>
      </c>
      <c r="L9" s="13">
        <v>371627794</v>
      </c>
      <c r="M9" s="14">
        <f t="shared" si="5"/>
        <v>1.2009067642000517</v>
      </c>
      <c r="N9" s="13">
        <v>310614522</v>
      </c>
      <c r="O9" s="14">
        <f t="shared" si="6"/>
        <v>16.273483019796668</v>
      </c>
      <c r="P9" s="13">
        <v>541354381</v>
      </c>
      <c r="Q9" s="14">
        <f t="shared" si="7"/>
        <v>5.843759198138784</v>
      </c>
      <c r="R9" s="13">
        <v>789580878</v>
      </c>
      <c r="S9" s="14">
        <f t="shared" si="8"/>
        <v>17.70103104083454</v>
      </c>
    </row>
    <row r="10" spans="1:19" s="15" customFormat="1" ht="11.25">
      <c r="A10" s="16" t="s">
        <v>18</v>
      </c>
      <c r="B10" s="13">
        <v>6735861904</v>
      </c>
      <c r="C10" s="14">
        <f t="shared" si="0"/>
        <v>8.752889895453398</v>
      </c>
      <c r="D10" s="13">
        <v>2165927109</v>
      </c>
      <c r="E10" s="14">
        <f t="shared" si="1"/>
        <v>5.248196391074846</v>
      </c>
      <c r="F10" s="13">
        <v>1430305622</v>
      </c>
      <c r="G10" s="14">
        <f t="shared" si="2"/>
        <v>9.719907648158612</v>
      </c>
      <c r="H10" s="13">
        <v>862140901</v>
      </c>
      <c r="I10" s="14">
        <f t="shared" si="3"/>
        <v>5.474887332020248</v>
      </c>
      <c r="J10" s="13">
        <v>581093513</v>
      </c>
      <c r="K10" s="14">
        <f t="shared" si="4"/>
        <v>32.40542525335461</v>
      </c>
      <c r="L10" s="13">
        <v>369869414</v>
      </c>
      <c r="M10" s="14">
        <f t="shared" si="5"/>
        <v>-0.4731562139294673</v>
      </c>
      <c r="N10" s="13">
        <v>352192055</v>
      </c>
      <c r="O10" s="14">
        <f t="shared" si="6"/>
        <v>13.385572809760646</v>
      </c>
      <c r="P10" s="13">
        <v>504298679</v>
      </c>
      <c r="Q10" s="14">
        <f t="shared" si="7"/>
        <v>-6.844999006297873</v>
      </c>
      <c r="R10" s="13">
        <v>814461492</v>
      </c>
      <c r="S10" s="14">
        <f t="shared" si="8"/>
        <v>3.151116585171405</v>
      </c>
    </row>
    <row r="11" spans="1:19" s="15" customFormat="1" ht="11.25">
      <c r="A11" s="16" t="s">
        <v>19</v>
      </c>
      <c r="B11" s="13">
        <v>6762487172</v>
      </c>
      <c r="C11" s="14">
        <f t="shared" si="0"/>
        <v>0.3952763340380976</v>
      </c>
      <c r="D11" s="13">
        <v>2083312651</v>
      </c>
      <c r="E11" s="14">
        <f t="shared" si="1"/>
        <v>-3.814276928190015</v>
      </c>
      <c r="F11" s="13">
        <v>1454487202</v>
      </c>
      <c r="G11" s="14">
        <f t="shared" si="2"/>
        <v>1.6906582501009004</v>
      </c>
      <c r="H11" s="13">
        <v>862827795</v>
      </c>
      <c r="I11" s="14">
        <f t="shared" si="3"/>
        <v>0.079673055669122</v>
      </c>
      <c r="J11" s="13">
        <v>659509272</v>
      </c>
      <c r="K11" s="14">
        <f t="shared" si="4"/>
        <v>13.494516329250436</v>
      </c>
      <c r="L11" s="13">
        <v>370013829</v>
      </c>
      <c r="M11" s="14">
        <f t="shared" si="5"/>
        <v>0.03904486138451015</v>
      </c>
      <c r="N11" s="13">
        <v>340604858</v>
      </c>
      <c r="O11" s="14">
        <f t="shared" si="6"/>
        <v>-3.2900222578842673</v>
      </c>
      <c r="P11" s="13">
        <v>500175122</v>
      </c>
      <c r="Q11" s="14">
        <f t="shared" si="7"/>
        <v>-0.8176814994195136</v>
      </c>
      <c r="R11" s="13">
        <v>770743313</v>
      </c>
      <c r="S11" s="14">
        <f t="shared" si="8"/>
        <v>-5.3677404554321155</v>
      </c>
    </row>
    <row r="12" spans="2:19" s="15" customFormat="1" ht="11.25">
      <c r="B12" s="17"/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</row>
    <row r="13" spans="1:19" s="18" customFormat="1" ht="11.25">
      <c r="A13" s="18" t="s">
        <v>20</v>
      </c>
      <c r="B13" s="19">
        <v>2009247420</v>
      </c>
      <c r="C13" s="20">
        <v>12.4</v>
      </c>
      <c r="D13" s="13">
        <v>785744482</v>
      </c>
      <c r="E13" s="20">
        <v>20.3</v>
      </c>
      <c r="F13" s="13">
        <v>547364924</v>
      </c>
      <c r="G13" s="20">
        <v>10.8</v>
      </c>
      <c r="H13" s="13">
        <v>148108951</v>
      </c>
      <c r="I13" s="20">
        <v>10.9</v>
      </c>
      <c r="J13" s="13">
        <v>159590965</v>
      </c>
      <c r="K13" s="20">
        <v>0.9</v>
      </c>
      <c r="L13" s="13">
        <v>141356718</v>
      </c>
      <c r="M13" s="20">
        <v>6.1</v>
      </c>
      <c r="N13" s="13">
        <v>80805772</v>
      </c>
      <c r="O13" s="20">
        <v>5.4</v>
      </c>
      <c r="P13" s="13">
        <v>357433209</v>
      </c>
      <c r="Q13" s="14">
        <v>23.9</v>
      </c>
      <c r="R13" s="13">
        <v>140467587</v>
      </c>
      <c r="S13" s="20">
        <v>-1.5</v>
      </c>
    </row>
    <row r="14" spans="1:19" s="18" customFormat="1" ht="11.25">
      <c r="A14" s="18" t="s">
        <v>21</v>
      </c>
      <c r="B14" s="13">
        <f>B5-B13</f>
        <v>2322267897</v>
      </c>
      <c r="C14" s="21">
        <v>21.9</v>
      </c>
      <c r="D14" s="13">
        <f>D5-D13</f>
        <v>929960819</v>
      </c>
      <c r="E14" s="21">
        <v>17.9</v>
      </c>
      <c r="F14" s="13">
        <f>F5-F13</f>
        <v>584513449</v>
      </c>
      <c r="G14" s="21">
        <v>20.3</v>
      </c>
      <c r="H14" s="13">
        <f>H5-H13</f>
        <v>200766102</v>
      </c>
      <c r="I14" s="21">
        <v>31.4</v>
      </c>
      <c r="J14" s="13">
        <f>J5-J13</f>
        <v>168979589</v>
      </c>
      <c r="K14" s="21">
        <v>35.8</v>
      </c>
      <c r="L14" s="13">
        <f>L5-L13</f>
        <v>144052020</v>
      </c>
      <c r="M14" s="21">
        <v>23.6</v>
      </c>
      <c r="N14" s="13">
        <f>N5-N13</f>
        <v>115098248</v>
      </c>
      <c r="O14" s="21">
        <v>29.3</v>
      </c>
      <c r="P14" s="13">
        <f>P5-P13</f>
        <v>379112658</v>
      </c>
      <c r="Q14" s="21">
        <v>27.2</v>
      </c>
      <c r="R14" s="13">
        <f>R5-R13</f>
        <v>180124017</v>
      </c>
      <c r="S14" s="21">
        <v>73</v>
      </c>
    </row>
    <row r="15" spans="1:19" s="18" customFormat="1" ht="11.25">
      <c r="A15" s="18" t="s">
        <v>22</v>
      </c>
      <c r="B15" s="17">
        <v>2592316589</v>
      </c>
      <c r="C15" s="22">
        <f aca="true" t="shared" si="9" ref="C15:C26">(B15/B13-1)*100</f>
        <v>29.019281706978628</v>
      </c>
      <c r="D15" s="13">
        <v>911255819</v>
      </c>
      <c r="E15" s="22">
        <f aca="true" t="shared" si="10" ref="E15:E26">(D15/D13-1)*100</f>
        <v>15.973556273730228</v>
      </c>
      <c r="F15" s="13">
        <v>654063301</v>
      </c>
      <c r="G15" s="22">
        <f aca="true" t="shared" si="11" ref="G15:G26">(F15/F13-1)*100</f>
        <v>19.493097259553306</v>
      </c>
      <c r="H15" s="13">
        <v>204423970</v>
      </c>
      <c r="I15" s="22">
        <f aca="true" t="shared" si="12" ref="I15:I26">(H15/H13-1)*100</f>
        <v>38.02269789892711</v>
      </c>
      <c r="J15" s="13">
        <v>184387572</v>
      </c>
      <c r="K15" s="22">
        <f aca="true" t="shared" si="13" ref="K15:K26">(J15/J13-1)*100</f>
        <v>15.537600765807769</v>
      </c>
      <c r="L15" s="13">
        <v>175252018</v>
      </c>
      <c r="M15" s="22">
        <f aca="true" t="shared" si="14" ref="M15:M26">(L15/L13-1)*100</f>
        <v>23.978556151820097</v>
      </c>
      <c r="N15" s="13">
        <v>104580374</v>
      </c>
      <c r="O15" s="22">
        <f aca="true" t="shared" si="15" ref="O15:O26">(N15/N13-1)*100</f>
        <v>29.421910603118807</v>
      </c>
      <c r="P15" s="13">
        <v>193491782</v>
      </c>
      <c r="Q15" s="22">
        <f aca="true" t="shared" si="16" ref="Q15:Q26">(P15/P13-1)*100</f>
        <v>-45.86631092803691</v>
      </c>
      <c r="R15" s="13">
        <v>197873691</v>
      </c>
      <c r="S15" s="22">
        <f aca="true" t="shared" si="17" ref="S15:S26">(R15/R13-1)*100</f>
        <v>40.8678651253545</v>
      </c>
    </row>
    <row r="16" spans="1:19" s="18" customFormat="1" ht="11.25">
      <c r="A16" s="18" t="s">
        <v>21</v>
      </c>
      <c r="B16" s="13">
        <f>B6-B15</f>
        <v>2396823059</v>
      </c>
      <c r="C16" s="22">
        <f t="shared" si="9"/>
        <v>3.2104462235521325</v>
      </c>
      <c r="D16" s="13">
        <f>D6-D15</f>
        <v>1055139977</v>
      </c>
      <c r="E16" s="22">
        <f t="shared" si="10"/>
        <v>13.46069161651422</v>
      </c>
      <c r="F16" s="13">
        <f>F6-F15</f>
        <v>607972447</v>
      </c>
      <c r="G16" s="22">
        <f t="shared" si="11"/>
        <v>4.013423136821603</v>
      </c>
      <c r="H16" s="13">
        <f>H6-H15</f>
        <v>237031836</v>
      </c>
      <c r="I16" s="22">
        <f t="shared" si="12"/>
        <v>18.06367391642638</v>
      </c>
      <c r="J16" s="13">
        <f>J6-J15</f>
        <v>196803915</v>
      </c>
      <c r="K16" s="22">
        <f t="shared" si="13"/>
        <v>16.466086918935517</v>
      </c>
      <c r="L16" s="13">
        <f>L6-L15</f>
        <v>161784058</v>
      </c>
      <c r="M16" s="22">
        <f t="shared" si="14"/>
        <v>12.309468482288555</v>
      </c>
      <c r="N16" s="13">
        <f>N6-N15</f>
        <v>127174496</v>
      </c>
      <c r="O16" s="22">
        <f t="shared" si="15"/>
        <v>10.492121478686634</v>
      </c>
      <c r="P16" s="13">
        <f>P6-P15</f>
        <v>529590417</v>
      </c>
      <c r="Q16" s="22">
        <f t="shared" si="16"/>
        <v>39.69209569362362</v>
      </c>
      <c r="R16" s="13">
        <f>R6-R15</f>
        <v>214720765</v>
      </c>
      <c r="S16" s="22">
        <f t="shared" si="17"/>
        <v>19.207182127189615</v>
      </c>
    </row>
    <row r="17" spans="1:38" ht="11.25">
      <c r="A17" s="18" t="s">
        <v>23</v>
      </c>
      <c r="B17" s="23">
        <v>3018299418</v>
      </c>
      <c r="C17" s="22">
        <f t="shared" si="9"/>
        <v>16.43251564286463</v>
      </c>
      <c r="D17" s="23">
        <v>1092302142</v>
      </c>
      <c r="E17" s="22">
        <f t="shared" si="10"/>
        <v>19.867782375170773</v>
      </c>
      <c r="F17" s="24">
        <v>713542172</v>
      </c>
      <c r="G17" s="22">
        <f t="shared" si="11"/>
        <v>9.09374840463646</v>
      </c>
      <c r="H17" s="24">
        <v>252771674</v>
      </c>
      <c r="I17" s="22">
        <f t="shared" si="12"/>
        <v>23.650702018946212</v>
      </c>
      <c r="J17" s="24">
        <v>218613412</v>
      </c>
      <c r="K17" s="22">
        <f t="shared" si="13"/>
        <v>18.561901775028524</v>
      </c>
      <c r="L17" s="24">
        <v>190989982</v>
      </c>
      <c r="M17" s="22">
        <f t="shared" si="14"/>
        <v>8.980189888598034</v>
      </c>
      <c r="N17" s="24">
        <v>130077514</v>
      </c>
      <c r="O17" s="22">
        <f t="shared" si="15"/>
        <v>24.380425336784505</v>
      </c>
      <c r="P17" s="24">
        <v>256714820</v>
      </c>
      <c r="Q17" s="22">
        <f t="shared" si="16"/>
        <v>32.67479235888169</v>
      </c>
      <c r="R17" s="24">
        <v>273881742</v>
      </c>
      <c r="S17" s="22">
        <f t="shared" si="17"/>
        <v>38.41240875220748</v>
      </c>
      <c r="AL17" s="26"/>
    </row>
    <row r="18" spans="1:38" s="18" customFormat="1" ht="11.25">
      <c r="A18" s="18" t="s">
        <v>21</v>
      </c>
      <c r="B18" s="27">
        <f>B7-B17</f>
        <v>3275831722</v>
      </c>
      <c r="C18" s="22">
        <f t="shared" si="9"/>
        <v>36.6739071413448</v>
      </c>
      <c r="D18" s="27">
        <f>D7-D17</f>
        <v>1194482308</v>
      </c>
      <c r="E18" s="22">
        <f t="shared" si="10"/>
        <v>13.206051712321765</v>
      </c>
      <c r="F18" s="27">
        <f>F7-F17</f>
        <v>742618015</v>
      </c>
      <c r="G18" s="22">
        <f t="shared" si="11"/>
        <v>22.146656261217057</v>
      </c>
      <c r="H18" s="27">
        <f>H7-H17</f>
        <v>320050050</v>
      </c>
      <c r="I18" s="22">
        <f t="shared" si="12"/>
        <v>35.02407752518104</v>
      </c>
      <c r="J18" s="27">
        <f>J7-J17</f>
        <v>253093985</v>
      </c>
      <c r="K18" s="22">
        <f t="shared" si="13"/>
        <v>28.60210885540564</v>
      </c>
      <c r="L18" s="27">
        <f>L7-L17</f>
        <v>179005548</v>
      </c>
      <c r="M18" s="22">
        <f t="shared" si="14"/>
        <v>10.644738556378641</v>
      </c>
      <c r="N18" s="27">
        <f>N7-N17</f>
        <v>139531640</v>
      </c>
      <c r="O18" s="22">
        <f t="shared" si="15"/>
        <v>9.7166840747692</v>
      </c>
      <c r="P18" s="27">
        <f>P7-P17</f>
        <v>268881580</v>
      </c>
      <c r="Q18" s="22">
        <f t="shared" si="16"/>
        <v>-49.22839021084477</v>
      </c>
      <c r="R18" s="27">
        <f>R7-R17</f>
        <v>311038804</v>
      </c>
      <c r="S18" s="22">
        <f t="shared" si="17"/>
        <v>44.85734716900809</v>
      </c>
      <c r="AL18" s="28"/>
    </row>
    <row r="19" spans="1:38" s="18" customFormat="1" ht="11.25">
      <c r="A19" s="18" t="s">
        <v>24</v>
      </c>
      <c r="B19" s="27">
        <v>2821978044</v>
      </c>
      <c r="C19" s="22">
        <f t="shared" si="9"/>
        <v>-6.504370402393256</v>
      </c>
      <c r="D19" s="27">
        <v>937962446</v>
      </c>
      <c r="E19" s="22">
        <f t="shared" si="10"/>
        <v>-14.129762275976566</v>
      </c>
      <c r="F19" s="27">
        <v>651642943</v>
      </c>
      <c r="G19" s="22">
        <f t="shared" si="11"/>
        <v>-8.674922300177656</v>
      </c>
      <c r="H19" s="27">
        <v>330080789</v>
      </c>
      <c r="I19" s="22">
        <f t="shared" si="12"/>
        <v>30.584564234044677</v>
      </c>
      <c r="J19" s="27">
        <v>202044652</v>
      </c>
      <c r="K19" s="22">
        <f t="shared" si="13"/>
        <v>-7.579022644777167</v>
      </c>
      <c r="L19" s="27">
        <v>180683000</v>
      </c>
      <c r="M19" s="22">
        <f t="shared" si="14"/>
        <v>-5.396608707989725</v>
      </c>
      <c r="N19" s="27">
        <v>124471763</v>
      </c>
      <c r="O19" s="22">
        <f t="shared" si="15"/>
        <v>-4.309546536997932</v>
      </c>
      <c r="P19" s="27">
        <v>278258948</v>
      </c>
      <c r="Q19" s="22">
        <f t="shared" si="16"/>
        <v>8.39224163217378</v>
      </c>
      <c r="R19" s="27">
        <v>327532785</v>
      </c>
      <c r="S19" s="22">
        <f t="shared" si="17"/>
        <v>19.589127266468175</v>
      </c>
      <c r="AL19" s="28"/>
    </row>
    <row r="20" spans="1:38" s="18" customFormat="1" ht="11.25">
      <c r="A20" s="18" t="s">
        <v>21</v>
      </c>
      <c r="B20" s="27">
        <f>B8-B19</f>
        <v>3121878651</v>
      </c>
      <c r="C20" s="22">
        <f t="shared" si="9"/>
        <v>-4.699663598898384</v>
      </c>
      <c r="D20" s="27">
        <f>D8-D19</f>
        <v>1081047680</v>
      </c>
      <c r="E20" s="22">
        <f t="shared" si="10"/>
        <v>-9.496551538710607</v>
      </c>
      <c r="F20" s="27">
        <f>F8-F19</f>
        <v>628455117</v>
      </c>
      <c r="G20" s="22">
        <f t="shared" si="11"/>
        <v>-15.373031046115948</v>
      </c>
      <c r="H20" s="27">
        <f>H8-H19</f>
        <v>406122582</v>
      </c>
      <c r="I20" s="22">
        <f t="shared" si="12"/>
        <v>26.893459944780517</v>
      </c>
      <c r="J20" s="27">
        <f>J8-J19</f>
        <v>214793526</v>
      </c>
      <c r="K20" s="22">
        <f t="shared" si="13"/>
        <v>-15.132899740782069</v>
      </c>
      <c r="L20" s="27">
        <f>L8-L19</f>
        <v>186534850</v>
      </c>
      <c r="M20" s="22">
        <f t="shared" si="14"/>
        <v>4.206183598287128</v>
      </c>
      <c r="N20" s="27">
        <f>N8-N19</f>
        <v>142669561</v>
      </c>
      <c r="O20" s="22">
        <f t="shared" si="15"/>
        <v>2.2488956626611767</v>
      </c>
      <c r="P20" s="27">
        <f>P8-P19</f>
        <v>233206617</v>
      </c>
      <c r="Q20" s="22">
        <f t="shared" si="16"/>
        <v>-13.267908869027023</v>
      </c>
      <c r="R20" s="27">
        <f>R8-R19</f>
        <v>343303206</v>
      </c>
      <c r="S20" s="22">
        <f t="shared" si="17"/>
        <v>10.373111516979726</v>
      </c>
      <c r="AL20" s="28"/>
    </row>
    <row r="21" spans="1:38" s="18" customFormat="1" ht="11.25">
      <c r="A21" s="18" t="s">
        <v>25</v>
      </c>
      <c r="B21" s="27">
        <v>2827249992</v>
      </c>
      <c r="C21" s="22">
        <f t="shared" si="9"/>
        <v>0.18681747050475206</v>
      </c>
      <c r="D21" s="27">
        <v>913006865</v>
      </c>
      <c r="E21" s="22">
        <f t="shared" si="10"/>
        <v>-2.660616222581691</v>
      </c>
      <c r="F21" s="27">
        <v>626256591</v>
      </c>
      <c r="G21" s="22">
        <f t="shared" si="11"/>
        <v>-3.8957457105462723</v>
      </c>
      <c r="H21" s="27">
        <v>370756145</v>
      </c>
      <c r="I21" s="22">
        <f t="shared" si="12"/>
        <v>12.322848634489914</v>
      </c>
      <c r="J21" s="27">
        <v>190371303</v>
      </c>
      <c r="K21" s="22">
        <f t="shared" si="13"/>
        <v>-5.777608506064292</v>
      </c>
      <c r="L21" s="27">
        <v>183146236</v>
      </c>
      <c r="M21" s="22">
        <f t="shared" si="14"/>
        <v>1.3632915105461052</v>
      </c>
      <c r="N21" s="27">
        <v>129649128</v>
      </c>
      <c r="O21" s="22">
        <f t="shared" si="15"/>
        <v>4.159469485460732</v>
      </c>
      <c r="P21" s="27">
        <v>268960457</v>
      </c>
      <c r="Q21" s="22">
        <f t="shared" si="16"/>
        <v>-3.3416682794330077</v>
      </c>
      <c r="R21" s="27">
        <v>373556360</v>
      </c>
      <c r="S21" s="22">
        <f t="shared" si="17"/>
        <v>14.051593338969104</v>
      </c>
      <c r="T21" s="27"/>
      <c r="U21" s="22"/>
      <c r="V21" s="27"/>
      <c r="W21" s="22"/>
      <c r="X21" s="27"/>
      <c r="Y21" s="22"/>
      <c r="Z21" s="27"/>
      <c r="AA21" s="22"/>
      <c r="AB21" s="27"/>
      <c r="AC21" s="22"/>
      <c r="AD21" s="27"/>
      <c r="AE21" s="22"/>
      <c r="AF21" s="27"/>
      <c r="AG21" s="22"/>
      <c r="AH21" s="27"/>
      <c r="AI21" s="22"/>
      <c r="AJ21" s="27"/>
      <c r="AK21" s="22"/>
      <c r="AL21" s="28"/>
    </row>
    <row r="22" spans="1:38" s="18" customFormat="1" ht="11.25">
      <c r="A22" s="18" t="s">
        <v>21</v>
      </c>
      <c r="B22" s="27">
        <f>B9-B21</f>
        <v>3366481421</v>
      </c>
      <c r="C22" s="22">
        <f t="shared" si="9"/>
        <v>7.835114600679582</v>
      </c>
      <c r="D22" s="27">
        <f>D9-D21</f>
        <v>1144916390</v>
      </c>
      <c r="E22" s="22">
        <f t="shared" si="10"/>
        <v>5.908038209748523</v>
      </c>
      <c r="F22" s="27">
        <f>F9-F21</f>
        <v>677340589</v>
      </c>
      <c r="G22" s="22">
        <f t="shared" si="11"/>
        <v>7.778673556412463</v>
      </c>
      <c r="H22" s="27">
        <f>H9-H21</f>
        <v>446633589</v>
      </c>
      <c r="I22" s="22">
        <f t="shared" si="12"/>
        <v>9.975068808165899</v>
      </c>
      <c r="J22" s="27">
        <f>J9-J21</f>
        <v>248503095</v>
      </c>
      <c r="K22" s="22">
        <f t="shared" si="13"/>
        <v>15.693940887212765</v>
      </c>
      <c r="L22" s="27">
        <f>L9-L21</f>
        <v>188481558</v>
      </c>
      <c r="M22" s="22">
        <f t="shared" si="14"/>
        <v>1.0436162465083498</v>
      </c>
      <c r="N22" s="27">
        <f>N9-N21</f>
        <v>180965394</v>
      </c>
      <c r="O22" s="22">
        <f t="shared" si="15"/>
        <v>26.842329037516286</v>
      </c>
      <c r="P22" s="27">
        <f>P9-P21</f>
        <v>272393924</v>
      </c>
      <c r="Q22" s="22">
        <f t="shared" si="16"/>
        <v>16.80368572046136</v>
      </c>
      <c r="R22" s="27">
        <f>R9-R21</f>
        <v>416024518</v>
      </c>
      <c r="S22" s="22">
        <f t="shared" si="17"/>
        <v>21.18282344266835</v>
      </c>
      <c r="T22" s="27"/>
      <c r="U22" s="22"/>
      <c r="V22" s="27"/>
      <c r="W22" s="22"/>
      <c r="X22" s="27"/>
      <c r="Y22" s="22"/>
      <c r="Z22" s="27"/>
      <c r="AA22" s="22"/>
      <c r="AB22" s="27"/>
      <c r="AC22" s="22"/>
      <c r="AD22" s="27"/>
      <c r="AE22" s="22"/>
      <c r="AF22" s="27"/>
      <c r="AG22" s="22"/>
      <c r="AH22" s="27"/>
      <c r="AI22" s="22"/>
      <c r="AJ22" s="27"/>
      <c r="AK22" s="22"/>
      <c r="AL22" s="28"/>
    </row>
    <row r="23" spans="1:38" s="18" customFormat="1" ht="11.25">
      <c r="A23" s="18" t="s">
        <v>26</v>
      </c>
      <c r="B23" s="27">
        <v>3316449550</v>
      </c>
      <c r="C23" s="22">
        <f t="shared" si="9"/>
        <v>17.303017397974752</v>
      </c>
      <c r="D23" s="27">
        <v>1029138962</v>
      </c>
      <c r="E23" s="22">
        <f t="shared" si="10"/>
        <v>12.719739736020497</v>
      </c>
      <c r="F23" s="27">
        <v>734755942</v>
      </c>
      <c r="G23" s="22">
        <f t="shared" si="11"/>
        <v>17.325063330151846</v>
      </c>
      <c r="H23" s="27">
        <v>426109726</v>
      </c>
      <c r="I23" s="22">
        <f t="shared" si="12"/>
        <v>14.929915996402432</v>
      </c>
      <c r="J23" s="27">
        <v>285000107</v>
      </c>
      <c r="K23" s="22">
        <f t="shared" si="13"/>
        <v>49.70749399136065</v>
      </c>
      <c r="L23" s="27">
        <v>193868891</v>
      </c>
      <c r="M23" s="22">
        <f t="shared" si="14"/>
        <v>5.85469580712541</v>
      </c>
      <c r="N23" s="27">
        <v>162503922</v>
      </c>
      <c r="O23" s="22">
        <f t="shared" si="15"/>
        <v>25.34131506075381</v>
      </c>
      <c r="P23" s="27">
        <v>263196466</v>
      </c>
      <c r="Q23" s="22">
        <f t="shared" si="16"/>
        <v>-2.1430626138473574</v>
      </c>
      <c r="R23" s="27">
        <v>427415794</v>
      </c>
      <c r="S23" s="22">
        <f t="shared" si="17"/>
        <v>14.418020884452343</v>
      </c>
      <c r="T23" s="27"/>
      <c r="U23" s="22"/>
      <c r="V23" s="27"/>
      <c r="W23" s="22"/>
      <c r="X23" s="27"/>
      <c r="Y23" s="22"/>
      <c r="Z23" s="27"/>
      <c r="AA23" s="22"/>
      <c r="AB23" s="27"/>
      <c r="AC23" s="22"/>
      <c r="AD23" s="27"/>
      <c r="AE23" s="22"/>
      <c r="AF23" s="27"/>
      <c r="AG23" s="22"/>
      <c r="AH23" s="27"/>
      <c r="AI23" s="22"/>
      <c r="AJ23" s="27"/>
      <c r="AK23" s="22"/>
      <c r="AL23" s="28"/>
    </row>
    <row r="24" spans="1:38" s="18" customFormat="1" ht="11.25">
      <c r="A24" s="18" t="s">
        <v>21</v>
      </c>
      <c r="B24" s="27">
        <f>B10-B23</f>
        <v>3419412354</v>
      </c>
      <c r="C24" s="22">
        <f t="shared" si="9"/>
        <v>1.5722924436718522</v>
      </c>
      <c r="D24" s="27">
        <f>D10-D23</f>
        <v>1136788147</v>
      </c>
      <c r="E24" s="22">
        <f t="shared" si="10"/>
        <v>-0.7099420596118788</v>
      </c>
      <c r="F24" s="27">
        <f>F10-F23</f>
        <v>695549680</v>
      </c>
      <c r="G24" s="22">
        <f t="shared" si="11"/>
        <v>2.6883212516295885</v>
      </c>
      <c r="H24" s="27">
        <f>H10-H23</f>
        <v>436031175</v>
      </c>
      <c r="I24" s="22">
        <f t="shared" si="12"/>
        <v>-2.373850570383318</v>
      </c>
      <c r="J24" s="27">
        <f>J10-J23</f>
        <v>296093406</v>
      </c>
      <c r="K24" s="22">
        <f t="shared" si="13"/>
        <v>19.150792065587762</v>
      </c>
      <c r="L24" s="27">
        <f>L10-L23</f>
        <v>176000523</v>
      </c>
      <c r="M24" s="22">
        <f t="shared" si="14"/>
        <v>-6.621886582665026</v>
      </c>
      <c r="N24" s="27">
        <f>N10-N23</f>
        <v>189688133</v>
      </c>
      <c r="O24" s="22">
        <f t="shared" si="15"/>
        <v>4.820114391594665</v>
      </c>
      <c r="P24" s="27">
        <f>P10-P23</f>
        <v>241102213</v>
      </c>
      <c r="Q24" s="22">
        <f t="shared" si="16"/>
        <v>-11.487668498802496</v>
      </c>
      <c r="R24" s="27">
        <f>R10-R23</f>
        <v>387045698</v>
      </c>
      <c r="S24" s="22">
        <f t="shared" si="17"/>
        <v>-6.965651961887498</v>
      </c>
      <c r="T24" s="27"/>
      <c r="U24" s="22"/>
      <c r="V24" s="27"/>
      <c r="W24" s="22"/>
      <c r="X24" s="27"/>
      <c r="Y24" s="22"/>
      <c r="Z24" s="27"/>
      <c r="AA24" s="22"/>
      <c r="AB24" s="27"/>
      <c r="AC24" s="22"/>
      <c r="AD24" s="27"/>
      <c r="AE24" s="22"/>
      <c r="AF24" s="27"/>
      <c r="AG24" s="22"/>
      <c r="AH24" s="27"/>
      <c r="AI24" s="22"/>
      <c r="AJ24" s="27"/>
      <c r="AK24" s="22"/>
      <c r="AL24" s="28"/>
    </row>
    <row r="25" spans="1:38" s="18" customFormat="1" ht="11.25">
      <c r="A25" s="18" t="s">
        <v>27</v>
      </c>
      <c r="B25" s="27">
        <v>3502037695</v>
      </c>
      <c r="C25" s="22">
        <f t="shared" si="9"/>
        <v>5.595988788673112</v>
      </c>
      <c r="D25" s="27">
        <v>1059555500</v>
      </c>
      <c r="E25" s="22">
        <f t="shared" si="10"/>
        <v>2.9555326465231957</v>
      </c>
      <c r="F25" s="27">
        <v>783682081</v>
      </c>
      <c r="G25" s="22">
        <f t="shared" si="11"/>
        <v>6.658828626390334</v>
      </c>
      <c r="H25" s="27">
        <v>421209569</v>
      </c>
      <c r="I25" s="22">
        <f t="shared" si="12"/>
        <v>-1.1499753938965518</v>
      </c>
      <c r="J25" s="27">
        <v>349352030</v>
      </c>
      <c r="K25" s="22">
        <f t="shared" si="13"/>
        <v>22.579613628004715</v>
      </c>
      <c r="L25" s="27">
        <v>197913454</v>
      </c>
      <c r="M25" s="22">
        <f t="shared" si="14"/>
        <v>2.08623620795354</v>
      </c>
      <c r="N25" s="27">
        <v>178150682</v>
      </c>
      <c r="O25" s="22">
        <f t="shared" si="15"/>
        <v>9.62854299602689</v>
      </c>
      <c r="P25" s="27">
        <v>245826977</v>
      </c>
      <c r="Q25" s="22">
        <f t="shared" si="16"/>
        <v>-6.599438535014368</v>
      </c>
      <c r="R25" s="27">
        <v>376090755</v>
      </c>
      <c r="S25" s="22">
        <f t="shared" si="17"/>
        <v>-12.008222372802635</v>
      </c>
      <c r="T25" s="27"/>
      <c r="U25" s="22"/>
      <c r="V25" s="27"/>
      <c r="W25" s="22"/>
      <c r="X25" s="27"/>
      <c r="Y25" s="22"/>
      <c r="Z25" s="27"/>
      <c r="AA25" s="22"/>
      <c r="AB25" s="27"/>
      <c r="AC25" s="22"/>
      <c r="AD25" s="27"/>
      <c r="AE25" s="22"/>
      <c r="AF25" s="27"/>
      <c r="AG25" s="22"/>
      <c r="AH25" s="27"/>
      <c r="AI25" s="22"/>
      <c r="AJ25" s="27"/>
      <c r="AK25" s="22"/>
      <c r="AL25" s="28"/>
    </row>
    <row r="26" spans="1:38" s="18" customFormat="1" ht="11.25">
      <c r="A26" s="18" t="s">
        <v>21</v>
      </c>
      <c r="B26" s="27">
        <f>B11-B25</f>
        <v>3260449477</v>
      </c>
      <c r="C26" s="22">
        <f t="shared" si="9"/>
        <v>-4.648836131566481</v>
      </c>
      <c r="D26" s="27">
        <f>D11-D25</f>
        <v>1023757151</v>
      </c>
      <c r="E26" s="22">
        <f t="shared" si="10"/>
        <v>-9.943013242906373</v>
      </c>
      <c r="F26" s="27">
        <f>F11-F25</f>
        <v>670805121</v>
      </c>
      <c r="G26" s="22">
        <f t="shared" si="11"/>
        <v>-3.5575545085435145</v>
      </c>
      <c r="H26" s="27">
        <f>H11-H25</f>
        <v>441618226</v>
      </c>
      <c r="I26" s="22">
        <f t="shared" si="12"/>
        <v>1.2813420966975686</v>
      </c>
      <c r="J26" s="27">
        <f>J11-J25</f>
        <v>310157242</v>
      </c>
      <c r="K26" s="22">
        <f t="shared" si="13"/>
        <v>4.7497970961231095</v>
      </c>
      <c r="L26" s="27">
        <f>L11-L25</f>
        <v>172100375</v>
      </c>
      <c r="M26" s="22">
        <f t="shared" si="14"/>
        <v>-2.215986596812558</v>
      </c>
      <c r="N26" s="27">
        <f>N11-N25</f>
        <v>162454176</v>
      </c>
      <c r="O26" s="22">
        <f t="shared" si="15"/>
        <v>-14.35722760790734</v>
      </c>
      <c r="P26" s="27">
        <f>P11-P25</f>
        <v>254348145</v>
      </c>
      <c r="Q26" s="22">
        <f t="shared" si="16"/>
        <v>5.493907266624709</v>
      </c>
      <c r="R26" s="27">
        <f>R11-R25</f>
        <v>394652558</v>
      </c>
      <c r="S26" s="22">
        <f t="shared" si="17"/>
        <v>1.965364823664828</v>
      </c>
      <c r="T26" s="27"/>
      <c r="U26" s="22"/>
      <c r="V26" s="27"/>
      <c r="W26" s="22"/>
      <c r="X26" s="27"/>
      <c r="Y26" s="22"/>
      <c r="Z26" s="27"/>
      <c r="AA26" s="22"/>
      <c r="AB26" s="27"/>
      <c r="AC26" s="22"/>
      <c r="AD26" s="27"/>
      <c r="AE26" s="22"/>
      <c r="AF26" s="27"/>
      <c r="AG26" s="22"/>
      <c r="AH26" s="27"/>
      <c r="AI26" s="22"/>
      <c r="AJ26" s="27"/>
      <c r="AK26" s="22"/>
      <c r="AL26" s="28"/>
    </row>
    <row r="27" spans="1:38" s="18" customFormat="1" ht="12.75">
      <c r="A27"/>
      <c r="B27" s="27"/>
      <c r="C27" s="22"/>
      <c r="D27" s="27"/>
      <c r="E27" s="22"/>
      <c r="F27" s="27"/>
      <c r="G27" s="22"/>
      <c r="H27" s="27"/>
      <c r="I27" s="22"/>
      <c r="J27" s="27"/>
      <c r="K27" s="22"/>
      <c r="L27" s="27"/>
      <c r="M27" s="22"/>
      <c r="N27" s="27"/>
      <c r="O27" s="22"/>
      <c r="P27" s="27"/>
      <c r="Q27" s="22"/>
      <c r="R27" s="27"/>
      <c r="S27" s="22"/>
      <c r="T27" s="27"/>
      <c r="U27" s="22"/>
      <c r="V27" s="27"/>
      <c r="W27" s="22"/>
      <c r="X27" s="27"/>
      <c r="Y27" s="22"/>
      <c r="Z27" s="27"/>
      <c r="AA27" s="22"/>
      <c r="AB27" s="27"/>
      <c r="AC27" s="22"/>
      <c r="AD27" s="27"/>
      <c r="AE27" s="22"/>
      <c r="AF27" s="27"/>
      <c r="AG27" s="22"/>
      <c r="AH27" s="27"/>
      <c r="AI27" s="22"/>
      <c r="AJ27" s="27"/>
      <c r="AK27" s="22"/>
      <c r="AL27" s="28"/>
    </row>
    <row r="28" spans="1:38" s="18" customFormat="1" ht="22.5">
      <c r="A28" s="6" t="s">
        <v>2</v>
      </c>
      <c r="B28" s="7" t="s">
        <v>28</v>
      </c>
      <c r="C28" s="11" t="s">
        <v>4</v>
      </c>
      <c r="D28" s="7" t="s">
        <v>29</v>
      </c>
      <c r="E28" s="11" t="s">
        <v>4</v>
      </c>
      <c r="F28" s="29" t="s">
        <v>30</v>
      </c>
      <c r="G28" s="11" t="s">
        <v>4</v>
      </c>
      <c r="H28" s="7" t="s">
        <v>31</v>
      </c>
      <c r="I28" s="11" t="s">
        <v>4</v>
      </c>
      <c r="J28" s="7" t="s">
        <v>32</v>
      </c>
      <c r="K28" s="11" t="s">
        <v>4</v>
      </c>
      <c r="L28" s="7" t="s">
        <v>33</v>
      </c>
      <c r="M28" s="11" t="s">
        <v>4</v>
      </c>
      <c r="N28" s="7" t="s">
        <v>34</v>
      </c>
      <c r="O28" s="11" t="s">
        <v>4</v>
      </c>
      <c r="P28" s="7" t="s">
        <v>35</v>
      </c>
      <c r="Q28" s="8" t="s">
        <v>4</v>
      </c>
      <c r="R28" s="7" t="s">
        <v>36</v>
      </c>
      <c r="S28" s="30" t="s">
        <v>4</v>
      </c>
      <c r="T28" s="27"/>
      <c r="U28" s="22"/>
      <c r="V28" s="27"/>
      <c r="W28" s="22"/>
      <c r="X28" s="27"/>
      <c r="Y28" s="22"/>
      <c r="Z28" s="27"/>
      <c r="AA28" s="22"/>
      <c r="AB28" s="27"/>
      <c r="AC28" s="22"/>
      <c r="AD28" s="27"/>
      <c r="AE28" s="22"/>
      <c r="AF28" s="27"/>
      <c r="AG28" s="22"/>
      <c r="AH28" s="27"/>
      <c r="AI28" s="22"/>
      <c r="AJ28" s="27"/>
      <c r="AK28" s="22"/>
      <c r="AL28" s="28"/>
    </row>
    <row r="29" spans="1:38" s="18" customFormat="1" ht="11.25">
      <c r="A29" s="12" t="s">
        <v>13</v>
      </c>
      <c r="B29" s="13">
        <v>179982797</v>
      </c>
      <c r="C29" s="14">
        <v>18.4</v>
      </c>
      <c r="D29" s="13">
        <v>105223341</v>
      </c>
      <c r="E29" s="14">
        <v>48.2</v>
      </c>
      <c r="F29" s="13">
        <v>585817774</v>
      </c>
      <c r="G29" s="14">
        <v>57.3</v>
      </c>
      <c r="H29" s="13">
        <v>88946528</v>
      </c>
      <c r="I29" s="14">
        <v>27.2</v>
      </c>
      <c r="J29" s="13">
        <v>224939277</v>
      </c>
      <c r="K29" s="14">
        <v>52.5</v>
      </c>
      <c r="L29" s="13">
        <v>412616396</v>
      </c>
      <c r="M29" s="14">
        <v>25.2</v>
      </c>
      <c r="N29" s="13">
        <v>747261955</v>
      </c>
      <c r="O29" s="14">
        <v>63.1</v>
      </c>
      <c r="P29" s="13">
        <v>143105618</v>
      </c>
      <c r="Q29" s="14">
        <v>58.1</v>
      </c>
      <c r="R29" s="31">
        <f aca="true" t="shared" si="18" ref="R29:R35">B5+P5+R5+B29+D29+F29+H29+J29+L29+N29+P29</f>
        <v>7876546474</v>
      </c>
      <c r="S29" s="14">
        <v>26.7</v>
      </c>
      <c r="T29" s="27"/>
      <c r="U29" s="22"/>
      <c r="V29" s="27"/>
      <c r="W29" s="22"/>
      <c r="X29" s="27"/>
      <c r="Y29" s="22"/>
      <c r="Z29" s="27"/>
      <c r="AA29" s="22"/>
      <c r="AB29" s="27"/>
      <c r="AC29" s="22"/>
      <c r="AD29" s="27"/>
      <c r="AE29" s="22"/>
      <c r="AF29" s="27"/>
      <c r="AG29" s="22"/>
      <c r="AH29" s="27"/>
      <c r="AI29" s="22"/>
      <c r="AJ29" s="27"/>
      <c r="AK29" s="22"/>
      <c r="AL29" s="28"/>
    </row>
    <row r="30" spans="1:38" s="18" customFormat="1" ht="11.25">
      <c r="A30" s="16" t="s">
        <v>14</v>
      </c>
      <c r="B30" s="13">
        <v>145253474</v>
      </c>
      <c r="C30" s="14">
        <f aca="true" t="shared" si="19" ref="C30:C35">(B30-B29)*100/B29</f>
        <v>-19.29591248656948</v>
      </c>
      <c r="D30" s="13">
        <v>118821739</v>
      </c>
      <c r="E30" s="14">
        <f aca="true" t="shared" si="20" ref="E30:E35">(D30-D29)*100/D29</f>
        <v>12.923366499073623</v>
      </c>
      <c r="F30" s="13">
        <v>666913209</v>
      </c>
      <c r="G30" s="14">
        <f aca="true" t="shared" si="21" ref="G30:G35">(F30-F29)*100/F29</f>
        <v>13.843116170114701</v>
      </c>
      <c r="H30" s="13">
        <v>89822496</v>
      </c>
      <c r="I30" s="14">
        <f aca="true" t="shared" si="22" ref="I30:I35">(H30-H29)*100/H29</f>
        <v>0.9848253998177422</v>
      </c>
      <c r="J30" s="13">
        <v>311697544</v>
      </c>
      <c r="K30" s="14">
        <f aca="true" t="shared" si="23" ref="K30:K35">(J30-J29)*100/J29</f>
        <v>38.569638951938124</v>
      </c>
      <c r="L30" s="13">
        <v>429622844</v>
      </c>
      <c r="M30" s="14">
        <f aca="true" t="shared" si="24" ref="M30:M35">(L30-L29)*100/L29</f>
        <v>4.121612268650614</v>
      </c>
      <c r="N30" s="13">
        <v>813207627</v>
      </c>
      <c r="O30" s="14">
        <f aca="true" t="shared" si="25" ref="O30:O35">(N30-N29)*100/N29</f>
        <v>8.824973833974994</v>
      </c>
      <c r="P30" s="13">
        <v>195762847</v>
      </c>
      <c r="Q30" s="14">
        <f aca="true" t="shared" si="26" ref="Q30:Q35">(P30-P29)*100/P29</f>
        <v>36.79605995622059</v>
      </c>
      <c r="R30" s="31">
        <f t="shared" si="18"/>
        <v>8895918083</v>
      </c>
      <c r="S30" s="14">
        <f aca="true" t="shared" si="27" ref="S30:S35">(R30-R29)*100/R29</f>
        <v>12.941859892084477</v>
      </c>
      <c r="T30" s="27"/>
      <c r="U30" s="22"/>
      <c r="V30" s="27"/>
      <c r="W30" s="22"/>
      <c r="X30" s="27"/>
      <c r="Y30" s="22"/>
      <c r="Z30" s="27"/>
      <c r="AA30" s="22"/>
      <c r="AB30" s="27"/>
      <c r="AC30" s="22"/>
      <c r="AD30" s="27"/>
      <c r="AE30" s="22"/>
      <c r="AF30" s="27"/>
      <c r="AG30" s="22"/>
      <c r="AH30" s="27"/>
      <c r="AI30" s="22"/>
      <c r="AJ30" s="27"/>
      <c r="AK30" s="22"/>
      <c r="AL30" s="28"/>
    </row>
    <row r="31" spans="1:38" s="18" customFormat="1" ht="11.25">
      <c r="A31" s="16" t="s">
        <v>15</v>
      </c>
      <c r="B31" s="13">
        <v>192184081</v>
      </c>
      <c r="C31" s="14">
        <f t="shared" si="19"/>
        <v>32.30945581377283</v>
      </c>
      <c r="D31" s="13">
        <v>144574488</v>
      </c>
      <c r="E31" s="14">
        <f t="shared" si="20"/>
        <v>21.673432165472683</v>
      </c>
      <c r="F31" s="13">
        <v>747269812</v>
      </c>
      <c r="G31" s="14">
        <f t="shared" si="21"/>
        <v>12.049034554359832</v>
      </c>
      <c r="H31" s="13">
        <v>95150224</v>
      </c>
      <c r="I31" s="14">
        <f t="shared" si="22"/>
        <v>5.931396072538443</v>
      </c>
      <c r="J31" s="13">
        <v>318146845</v>
      </c>
      <c r="K31" s="14">
        <f t="shared" si="23"/>
        <v>2.0690894503807833</v>
      </c>
      <c r="L31" s="13">
        <v>461564778</v>
      </c>
      <c r="M31" s="14">
        <f t="shared" si="24"/>
        <v>7.434877927487487</v>
      </c>
      <c r="N31" s="13">
        <v>1013407523</v>
      </c>
      <c r="O31" s="14">
        <f t="shared" si="25"/>
        <v>24.61854627932554</v>
      </c>
      <c r="P31" s="13">
        <v>194229469</v>
      </c>
      <c r="Q31" s="14">
        <f t="shared" si="26"/>
        <v>-0.7832834592970545</v>
      </c>
      <c r="R31" s="31">
        <f t="shared" si="18"/>
        <v>10571175306</v>
      </c>
      <c r="S31" s="14">
        <f t="shared" si="27"/>
        <v>18.831751904296397</v>
      </c>
      <c r="T31" s="27"/>
      <c r="U31" s="22"/>
      <c r="V31" s="27"/>
      <c r="W31" s="22"/>
      <c r="X31" s="27"/>
      <c r="Y31" s="22"/>
      <c r="Z31" s="27"/>
      <c r="AA31" s="22"/>
      <c r="AB31" s="27"/>
      <c r="AC31" s="22"/>
      <c r="AD31" s="27"/>
      <c r="AE31" s="22"/>
      <c r="AF31" s="27"/>
      <c r="AG31" s="22"/>
      <c r="AH31" s="27"/>
      <c r="AI31" s="22"/>
      <c r="AJ31" s="27"/>
      <c r="AK31" s="22"/>
      <c r="AL31" s="28"/>
    </row>
    <row r="32" spans="1:38" s="18" customFormat="1" ht="11.25">
      <c r="A32" s="16" t="s">
        <v>16</v>
      </c>
      <c r="B32" s="13">
        <v>204816668</v>
      </c>
      <c r="C32" s="14">
        <f t="shared" si="19"/>
        <v>6.573170334539831</v>
      </c>
      <c r="D32" s="13">
        <v>148935572</v>
      </c>
      <c r="E32" s="14">
        <f t="shared" si="20"/>
        <v>3.0164962437909515</v>
      </c>
      <c r="F32" s="13">
        <v>871681860</v>
      </c>
      <c r="G32" s="14">
        <f t="shared" si="21"/>
        <v>16.648879160128576</v>
      </c>
      <c r="H32" s="13">
        <v>99043015</v>
      </c>
      <c r="I32" s="14">
        <f t="shared" si="22"/>
        <v>4.091205292380605</v>
      </c>
      <c r="J32" s="13">
        <v>358257333</v>
      </c>
      <c r="K32" s="14">
        <f t="shared" si="23"/>
        <v>12.607539138098321</v>
      </c>
      <c r="L32" s="13">
        <v>475222260</v>
      </c>
      <c r="M32" s="14">
        <f t="shared" si="24"/>
        <v>2.9589523834940454</v>
      </c>
      <c r="N32" s="13">
        <v>1283124148</v>
      </c>
      <c r="O32" s="14">
        <f t="shared" si="25"/>
        <v>26.614823639907</v>
      </c>
      <c r="P32" s="13">
        <v>212807992</v>
      </c>
      <c r="Q32" s="14">
        <f t="shared" si="26"/>
        <v>9.565244190622794</v>
      </c>
      <c r="R32" s="31">
        <f t="shared" si="18"/>
        <v>10780047099</v>
      </c>
      <c r="S32" s="14">
        <f t="shared" si="27"/>
        <v>1.9758615948923703</v>
      </c>
      <c r="T32" s="27"/>
      <c r="U32" s="22"/>
      <c r="V32" s="27"/>
      <c r="W32" s="22"/>
      <c r="X32" s="27"/>
      <c r="Y32" s="22"/>
      <c r="Z32" s="27"/>
      <c r="AA32" s="22"/>
      <c r="AB32" s="27"/>
      <c r="AC32" s="22"/>
      <c r="AD32" s="27"/>
      <c r="AE32" s="22"/>
      <c r="AF32" s="27"/>
      <c r="AG32" s="22"/>
      <c r="AH32" s="27"/>
      <c r="AI32" s="22"/>
      <c r="AJ32" s="27"/>
      <c r="AK32" s="22"/>
      <c r="AL32" s="28"/>
    </row>
    <row r="33" spans="1:38" s="18" customFormat="1" ht="11.25">
      <c r="A33" s="16" t="s">
        <v>17</v>
      </c>
      <c r="B33" s="13">
        <v>276429555</v>
      </c>
      <c r="C33" s="14">
        <f t="shared" si="19"/>
        <v>34.96438434395388</v>
      </c>
      <c r="D33" s="13">
        <v>144828974</v>
      </c>
      <c r="E33" s="14">
        <f t="shared" si="20"/>
        <v>-2.757298303457014</v>
      </c>
      <c r="F33" s="13">
        <v>1194275557</v>
      </c>
      <c r="G33" s="14">
        <f t="shared" si="21"/>
        <v>37.008192071359616</v>
      </c>
      <c r="H33" s="13">
        <v>119733046</v>
      </c>
      <c r="I33" s="14">
        <f t="shared" si="22"/>
        <v>20.889944636681346</v>
      </c>
      <c r="J33" s="13">
        <v>487391013</v>
      </c>
      <c r="K33" s="14">
        <f t="shared" si="23"/>
        <v>36.04495096266459</v>
      </c>
      <c r="L33" s="13">
        <v>512599678</v>
      </c>
      <c r="M33" s="14">
        <f t="shared" si="24"/>
        <v>7.865249830679228</v>
      </c>
      <c r="N33" s="13">
        <v>1171165756</v>
      </c>
      <c r="O33" s="14">
        <f t="shared" si="25"/>
        <v>-8.725452807860336</v>
      </c>
      <c r="P33" s="13">
        <v>218239851</v>
      </c>
      <c r="Q33" s="14">
        <f t="shared" si="26"/>
        <v>2.552469458007949</v>
      </c>
      <c r="R33" s="31">
        <f t="shared" si="18"/>
        <v>11649330102</v>
      </c>
      <c r="S33" s="14">
        <f t="shared" si="27"/>
        <v>8.063814517847868</v>
      </c>
      <c r="T33" s="27"/>
      <c r="U33" s="22"/>
      <c r="V33" s="27"/>
      <c r="W33" s="22"/>
      <c r="X33" s="27"/>
      <c r="Y33" s="22"/>
      <c r="Z33" s="27"/>
      <c r="AA33" s="22"/>
      <c r="AB33" s="27"/>
      <c r="AC33" s="22"/>
      <c r="AD33" s="27"/>
      <c r="AE33" s="22"/>
      <c r="AF33" s="27"/>
      <c r="AG33" s="22"/>
      <c r="AH33" s="27"/>
      <c r="AI33" s="22"/>
      <c r="AJ33" s="27"/>
      <c r="AK33" s="22"/>
      <c r="AL33" s="28"/>
    </row>
    <row r="34" spans="1:38" s="18" customFormat="1" ht="11.25">
      <c r="A34" s="16" t="s">
        <v>18</v>
      </c>
      <c r="B34" s="27">
        <v>244782792</v>
      </c>
      <c r="C34" s="14">
        <f t="shared" si="19"/>
        <v>-11.448400660341836</v>
      </c>
      <c r="D34" s="27">
        <v>135940995</v>
      </c>
      <c r="E34" s="14">
        <f t="shared" si="20"/>
        <v>-6.136879075039225</v>
      </c>
      <c r="F34" s="27">
        <v>1455163336</v>
      </c>
      <c r="G34" s="14">
        <f t="shared" si="21"/>
        <v>21.844856278842858</v>
      </c>
      <c r="H34" s="27">
        <v>135529019</v>
      </c>
      <c r="I34" s="14">
        <f t="shared" si="22"/>
        <v>13.192659443408798</v>
      </c>
      <c r="J34" s="27">
        <v>487658542</v>
      </c>
      <c r="K34" s="14">
        <f t="shared" si="23"/>
        <v>0.05489001497038272</v>
      </c>
      <c r="L34" s="27">
        <v>527865928</v>
      </c>
      <c r="M34" s="14">
        <f t="shared" si="24"/>
        <v>2.9782012465485788</v>
      </c>
      <c r="N34" s="27">
        <v>727827759</v>
      </c>
      <c r="O34" s="14">
        <f t="shared" si="25"/>
        <v>-37.854419387583256</v>
      </c>
      <c r="P34" s="27">
        <v>220816581</v>
      </c>
      <c r="Q34" s="14">
        <f t="shared" si="26"/>
        <v>1.1806872063892675</v>
      </c>
      <c r="R34" s="31">
        <f t="shared" si="18"/>
        <v>11990207027</v>
      </c>
      <c r="S34" s="14">
        <f t="shared" si="27"/>
        <v>2.9261504482689267</v>
      </c>
      <c r="T34" s="27"/>
      <c r="U34" s="22"/>
      <c r="V34" s="27"/>
      <c r="W34" s="22"/>
      <c r="X34" s="27"/>
      <c r="Y34" s="22"/>
      <c r="Z34" s="27"/>
      <c r="AA34" s="22"/>
      <c r="AB34" s="27"/>
      <c r="AC34" s="22"/>
      <c r="AD34" s="27"/>
      <c r="AE34" s="22"/>
      <c r="AF34" s="27"/>
      <c r="AG34" s="22"/>
      <c r="AH34" s="27"/>
      <c r="AI34" s="22"/>
      <c r="AJ34" s="27"/>
      <c r="AK34" s="22"/>
      <c r="AL34" s="28"/>
    </row>
    <row r="35" spans="1:38" s="18" customFormat="1" ht="11.25">
      <c r="A35" s="16" t="s">
        <v>19</v>
      </c>
      <c r="B35" s="27">
        <v>263518842</v>
      </c>
      <c r="C35" s="14">
        <f t="shared" si="19"/>
        <v>7.654153238026634</v>
      </c>
      <c r="D35" s="27">
        <v>127287236</v>
      </c>
      <c r="E35" s="14">
        <f t="shared" si="20"/>
        <v>-6.365819964757504</v>
      </c>
      <c r="F35" s="27">
        <v>1461903371</v>
      </c>
      <c r="G35" s="14">
        <f t="shared" si="21"/>
        <v>0.463180650120503</v>
      </c>
      <c r="H35" s="27">
        <v>140843017</v>
      </c>
      <c r="I35" s="14">
        <f t="shared" si="22"/>
        <v>3.9209300260632745</v>
      </c>
      <c r="J35" s="27">
        <v>398862151</v>
      </c>
      <c r="K35" s="14">
        <f t="shared" si="23"/>
        <v>-18.208722569654075</v>
      </c>
      <c r="L35" s="27">
        <v>505427847</v>
      </c>
      <c r="M35" s="14">
        <f t="shared" si="24"/>
        <v>-4.250715912848234</v>
      </c>
      <c r="N35" s="27">
        <v>848237321</v>
      </c>
      <c r="O35" s="14">
        <f t="shared" si="25"/>
        <v>16.543689150498587</v>
      </c>
      <c r="P35" s="27">
        <v>225334904</v>
      </c>
      <c r="Q35" s="14">
        <f t="shared" si="26"/>
        <v>2.046188279674523</v>
      </c>
      <c r="R35" s="31">
        <f t="shared" si="18"/>
        <v>12004820296</v>
      </c>
      <c r="S35" s="14">
        <f t="shared" si="27"/>
        <v>0.12187670293843376</v>
      </c>
      <c r="T35" s="27"/>
      <c r="U35" s="22"/>
      <c r="V35" s="27"/>
      <c r="W35" s="22"/>
      <c r="X35" s="27"/>
      <c r="Y35" s="22"/>
      <c r="Z35" s="27"/>
      <c r="AA35" s="22"/>
      <c r="AB35" s="27"/>
      <c r="AC35" s="22"/>
      <c r="AD35" s="27"/>
      <c r="AE35" s="22"/>
      <c r="AF35" s="27"/>
      <c r="AG35" s="22"/>
      <c r="AH35" s="27"/>
      <c r="AI35" s="22"/>
      <c r="AJ35" s="27"/>
      <c r="AK35" s="22"/>
      <c r="AL35" s="28"/>
    </row>
    <row r="36" spans="1:38" s="18" customFormat="1" ht="11.25">
      <c r="A36" s="15"/>
      <c r="B36" s="13"/>
      <c r="C36" s="14"/>
      <c r="D36" s="13"/>
      <c r="E36" s="14"/>
      <c r="F36" s="13"/>
      <c r="G36" s="32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31"/>
      <c r="S36" s="14"/>
      <c r="T36" s="27"/>
      <c r="U36" s="22"/>
      <c r="V36" s="27"/>
      <c r="W36" s="22"/>
      <c r="X36" s="27"/>
      <c r="Y36" s="22"/>
      <c r="Z36" s="27"/>
      <c r="AA36" s="22"/>
      <c r="AB36" s="27"/>
      <c r="AC36" s="22"/>
      <c r="AD36" s="27"/>
      <c r="AE36" s="22"/>
      <c r="AF36" s="27"/>
      <c r="AG36" s="22"/>
      <c r="AH36" s="27"/>
      <c r="AI36" s="22"/>
      <c r="AJ36" s="27"/>
      <c r="AK36" s="22"/>
      <c r="AL36" s="28"/>
    </row>
    <row r="37" spans="1:38" s="18" customFormat="1" ht="11.25">
      <c r="A37" s="18" t="s">
        <v>20</v>
      </c>
      <c r="B37" s="13">
        <v>100276540</v>
      </c>
      <c r="C37" s="20">
        <v>48.1</v>
      </c>
      <c r="D37" s="13">
        <v>57030427</v>
      </c>
      <c r="E37" s="20">
        <v>68.7</v>
      </c>
      <c r="F37" s="13">
        <v>280211456</v>
      </c>
      <c r="G37" s="20">
        <v>67.7</v>
      </c>
      <c r="H37" s="13">
        <v>43060118</v>
      </c>
      <c r="I37" s="20">
        <v>7.3</v>
      </c>
      <c r="J37" s="13">
        <v>105148977</v>
      </c>
      <c r="K37" s="20">
        <v>52.7</v>
      </c>
      <c r="L37" s="13">
        <v>184623001</v>
      </c>
      <c r="M37" s="20">
        <v>14.5</v>
      </c>
      <c r="N37" s="13">
        <v>299408187</v>
      </c>
      <c r="O37" s="20">
        <v>50.7</v>
      </c>
      <c r="P37" s="13">
        <v>60762889</v>
      </c>
      <c r="Q37" s="20">
        <v>52.4</v>
      </c>
      <c r="R37" s="31">
        <f aca="true" t="shared" si="28" ref="R37:R47">B13+P13+R13+B37+D37+F37+H37+J37+L37+N37+P37</f>
        <v>3637669811</v>
      </c>
      <c r="S37" s="20">
        <v>21.4</v>
      </c>
      <c r="T37" s="27"/>
      <c r="U37" s="22"/>
      <c r="V37" s="27"/>
      <c r="W37" s="22"/>
      <c r="X37" s="27"/>
      <c r="Y37" s="22"/>
      <c r="Z37" s="27"/>
      <c r="AA37" s="22"/>
      <c r="AB37" s="27"/>
      <c r="AC37" s="22"/>
      <c r="AD37" s="27"/>
      <c r="AE37" s="22"/>
      <c r="AF37" s="27"/>
      <c r="AG37" s="22"/>
      <c r="AH37" s="27"/>
      <c r="AI37" s="22"/>
      <c r="AJ37" s="27"/>
      <c r="AK37" s="22"/>
      <c r="AL37" s="28"/>
    </row>
    <row r="38" spans="1:38" s="18" customFormat="1" ht="11.25">
      <c r="A38" s="18" t="s">
        <v>21</v>
      </c>
      <c r="B38" s="13">
        <f>B29-B37</f>
        <v>79706257</v>
      </c>
      <c r="C38" s="21">
        <v>-5.5</v>
      </c>
      <c r="D38" s="13">
        <f>D29-D37</f>
        <v>48192914</v>
      </c>
      <c r="E38" s="21">
        <v>29.6</v>
      </c>
      <c r="F38" s="13">
        <f>F29-F37</f>
        <v>305606318</v>
      </c>
      <c r="G38" s="21">
        <v>48.9</v>
      </c>
      <c r="H38" s="13">
        <f>H29-H37</f>
        <v>45886410</v>
      </c>
      <c r="I38" s="21">
        <v>53.9</v>
      </c>
      <c r="J38" s="13">
        <f>J29-J37</f>
        <v>119790300</v>
      </c>
      <c r="K38" s="21">
        <v>52.3</v>
      </c>
      <c r="L38" s="13">
        <f>L29-L37</f>
        <v>227993395</v>
      </c>
      <c r="M38" s="21">
        <v>35.3</v>
      </c>
      <c r="N38" s="13">
        <f>N29-N37</f>
        <v>447853768</v>
      </c>
      <c r="O38" s="21">
        <v>72.6</v>
      </c>
      <c r="P38" s="13">
        <f>P29-P37</f>
        <v>82342729</v>
      </c>
      <c r="Q38" s="21">
        <v>62.6</v>
      </c>
      <c r="R38" s="31">
        <f t="shared" si="28"/>
        <v>4238876663</v>
      </c>
      <c r="S38" s="20">
        <v>31.6</v>
      </c>
      <c r="T38" s="27"/>
      <c r="U38" s="22"/>
      <c r="V38" s="27"/>
      <c r="W38" s="22"/>
      <c r="X38" s="27"/>
      <c r="Y38" s="22"/>
      <c r="Z38" s="27"/>
      <c r="AA38" s="22"/>
      <c r="AB38" s="27"/>
      <c r="AC38" s="22"/>
      <c r="AD38" s="27"/>
      <c r="AE38" s="22"/>
      <c r="AF38" s="27"/>
      <c r="AG38" s="22"/>
      <c r="AH38" s="27"/>
      <c r="AI38" s="22"/>
      <c r="AJ38" s="27"/>
      <c r="AK38" s="22"/>
      <c r="AL38" s="28"/>
    </row>
    <row r="39" spans="1:38" s="18" customFormat="1" ht="11.25">
      <c r="A39" s="18" t="s">
        <v>22</v>
      </c>
      <c r="B39" s="13">
        <v>77210729</v>
      </c>
      <c r="C39" s="22">
        <f aca="true" t="shared" si="29" ref="C39:C50">(B39/B37-1)*100</f>
        <v>-23.002200714145104</v>
      </c>
      <c r="D39" s="13">
        <v>59952290</v>
      </c>
      <c r="E39" s="22">
        <f aca="true" t="shared" si="30" ref="E39:E50">(D39/D37-1)*100</f>
        <v>5.123340563450451</v>
      </c>
      <c r="F39" s="13">
        <v>355156504</v>
      </c>
      <c r="G39" s="22">
        <f aca="true" t="shared" si="31" ref="G39:G50">(F39/F37-1)*100</f>
        <v>26.74589007524375</v>
      </c>
      <c r="H39" s="13">
        <v>45133993</v>
      </c>
      <c r="I39" s="22">
        <f aca="true" t="shared" si="32" ref="I39:I50">(H39/H37-1)*100</f>
        <v>4.816231576513563</v>
      </c>
      <c r="J39" s="13">
        <v>153525642</v>
      </c>
      <c r="K39" s="22">
        <f aca="true" t="shared" si="33" ref="K39:K50">(J39/J37-1)*100</f>
        <v>46.00773719367712</v>
      </c>
      <c r="L39" s="13">
        <v>237072727</v>
      </c>
      <c r="M39" s="22">
        <f aca="true" t="shared" si="34" ref="M39:M50">(L39/L37-1)*100</f>
        <v>28.409096220898288</v>
      </c>
      <c r="N39" s="13">
        <v>437100251</v>
      </c>
      <c r="O39" s="22">
        <f aca="true" t="shared" si="35" ref="O39:O50">(N39/N37-1)*100</f>
        <v>45.988075803685355</v>
      </c>
      <c r="P39" s="13">
        <v>97393578</v>
      </c>
      <c r="Q39" s="22">
        <f aca="true" t="shared" si="36" ref="Q39:Q50">(P39/P37-1)*100</f>
        <v>60.28464018555799</v>
      </c>
      <c r="R39" s="31">
        <f t="shared" si="28"/>
        <v>4446227776</v>
      </c>
      <c r="S39" s="22">
        <f aca="true" t="shared" si="37" ref="S39:S50">(R39/R37-1)*100</f>
        <v>22.22736001368213</v>
      </c>
      <c r="T39" s="27"/>
      <c r="U39" s="22"/>
      <c r="V39" s="27"/>
      <c r="W39" s="22"/>
      <c r="X39" s="27"/>
      <c r="Y39" s="22"/>
      <c r="Z39" s="27"/>
      <c r="AA39" s="22"/>
      <c r="AB39" s="27"/>
      <c r="AC39" s="22"/>
      <c r="AD39" s="27"/>
      <c r="AE39" s="22"/>
      <c r="AF39" s="27"/>
      <c r="AG39" s="22"/>
      <c r="AH39" s="27"/>
      <c r="AI39" s="22"/>
      <c r="AJ39" s="27"/>
      <c r="AK39" s="22"/>
      <c r="AL39" s="28"/>
    </row>
    <row r="40" spans="1:38" s="18" customFormat="1" ht="11.25">
      <c r="A40" s="18" t="s">
        <v>21</v>
      </c>
      <c r="B40" s="13">
        <f>B30-B39</f>
        <v>68042745</v>
      </c>
      <c r="C40" s="22">
        <f t="shared" si="29"/>
        <v>-14.63311970602258</v>
      </c>
      <c r="D40" s="13">
        <f>D30-D39</f>
        <v>58869449</v>
      </c>
      <c r="E40" s="22">
        <f t="shared" si="30"/>
        <v>22.153744428070897</v>
      </c>
      <c r="F40" s="13">
        <f>F30-F39</f>
        <v>311756705</v>
      </c>
      <c r="G40" s="22">
        <f t="shared" si="31"/>
        <v>2.0125195841010024</v>
      </c>
      <c r="H40" s="13">
        <f>H30-H39</f>
        <v>44688503</v>
      </c>
      <c r="I40" s="22">
        <f t="shared" si="32"/>
        <v>-2.610592112130805</v>
      </c>
      <c r="J40" s="13">
        <f>J30-J39</f>
        <v>158171902</v>
      </c>
      <c r="K40" s="22">
        <f t="shared" si="33"/>
        <v>32.04065938560969</v>
      </c>
      <c r="L40" s="13">
        <f>L30-L39</f>
        <v>192550117</v>
      </c>
      <c r="M40" s="22">
        <f t="shared" si="34"/>
        <v>-15.545747717823144</v>
      </c>
      <c r="N40" s="13">
        <f>N30-N39</f>
        <v>376107376</v>
      </c>
      <c r="O40" s="22">
        <f t="shared" si="35"/>
        <v>-16.02004875841527</v>
      </c>
      <c r="P40" s="13">
        <f>P30-P39</f>
        <v>98369269</v>
      </c>
      <c r="Q40" s="22">
        <f t="shared" si="36"/>
        <v>19.463212107045912</v>
      </c>
      <c r="R40" s="31">
        <f t="shared" si="28"/>
        <v>4449690307</v>
      </c>
      <c r="S40" s="22">
        <f t="shared" si="37"/>
        <v>4.973337531618571</v>
      </c>
      <c r="T40" s="27"/>
      <c r="U40" s="22"/>
      <c r="V40" s="27"/>
      <c r="W40" s="22"/>
      <c r="X40" s="27"/>
      <c r="Y40" s="22"/>
      <c r="Z40" s="27"/>
      <c r="AA40" s="22"/>
      <c r="AB40" s="27"/>
      <c r="AC40" s="22"/>
      <c r="AD40" s="27"/>
      <c r="AE40" s="22"/>
      <c r="AF40" s="27"/>
      <c r="AG40" s="22"/>
      <c r="AH40" s="27"/>
      <c r="AI40" s="22"/>
      <c r="AJ40" s="27"/>
      <c r="AK40" s="22"/>
      <c r="AL40" s="28"/>
    </row>
    <row r="41" spans="1:38" s="18" customFormat="1" ht="11.25">
      <c r="A41" s="18" t="s">
        <v>23</v>
      </c>
      <c r="B41" s="24">
        <v>89966448</v>
      </c>
      <c r="C41" s="22">
        <f t="shared" si="29"/>
        <v>16.520656086539475</v>
      </c>
      <c r="D41" s="24">
        <v>81134671</v>
      </c>
      <c r="E41" s="22">
        <f t="shared" si="30"/>
        <v>35.33206321226427</v>
      </c>
      <c r="F41" s="24">
        <v>365652184</v>
      </c>
      <c r="G41" s="22">
        <f t="shared" si="31"/>
        <v>2.955226747023043</v>
      </c>
      <c r="H41" s="24">
        <v>56286897</v>
      </c>
      <c r="I41" s="22">
        <f t="shared" si="32"/>
        <v>24.710652124220434</v>
      </c>
      <c r="J41" s="24">
        <v>175348560</v>
      </c>
      <c r="K41" s="22">
        <f t="shared" si="33"/>
        <v>14.214510172834839</v>
      </c>
      <c r="L41" s="13">
        <v>224750817</v>
      </c>
      <c r="M41" s="22">
        <f t="shared" si="34"/>
        <v>-5.197523205611077</v>
      </c>
      <c r="N41" s="13">
        <v>439587360</v>
      </c>
      <c r="O41" s="22">
        <f t="shared" si="35"/>
        <v>0.5690019610627095</v>
      </c>
      <c r="P41" s="13">
        <v>103511216</v>
      </c>
      <c r="Q41" s="22">
        <f t="shared" si="36"/>
        <v>6.281356661935145</v>
      </c>
      <c r="R41" s="13">
        <f t="shared" si="28"/>
        <v>5085134133</v>
      </c>
      <c r="S41" s="22">
        <f t="shared" si="37"/>
        <v>14.36962722532369</v>
      </c>
      <c r="T41" s="27"/>
      <c r="U41" s="22"/>
      <c r="V41" s="27"/>
      <c r="W41" s="22"/>
      <c r="X41" s="27"/>
      <c r="Y41" s="22"/>
      <c r="Z41" s="27"/>
      <c r="AA41" s="22"/>
      <c r="AB41" s="27"/>
      <c r="AC41" s="22"/>
      <c r="AD41" s="27"/>
      <c r="AE41" s="22"/>
      <c r="AF41" s="27"/>
      <c r="AG41" s="22"/>
      <c r="AH41" s="27"/>
      <c r="AI41" s="22"/>
      <c r="AJ41" s="27"/>
      <c r="AK41" s="22"/>
      <c r="AL41" s="28"/>
    </row>
    <row r="42" spans="1:38" s="18" customFormat="1" ht="11.25">
      <c r="A42" s="18" t="s">
        <v>21</v>
      </c>
      <c r="B42" s="27">
        <f>B31-B41</f>
        <v>102217633</v>
      </c>
      <c r="C42" s="22">
        <f t="shared" si="29"/>
        <v>50.225616265187426</v>
      </c>
      <c r="D42" s="27">
        <f>D31-D41</f>
        <v>63439817</v>
      </c>
      <c r="E42" s="22">
        <f t="shared" si="30"/>
        <v>7.763565104881476</v>
      </c>
      <c r="F42" s="27">
        <f>F31-F41</f>
        <v>381617628</v>
      </c>
      <c r="G42" s="22">
        <f t="shared" si="31"/>
        <v>22.40879566647973</v>
      </c>
      <c r="H42" s="27">
        <f>H31-H41</f>
        <v>38863327</v>
      </c>
      <c r="I42" s="22">
        <f t="shared" si="32"/>
        <v>-13.035066312245903</v>
      </c>
      <c r="J42" s="27">
        <f>J31-J41</f>
        <v>142798285</v>
      </c>
      <c r="K42" s="22">
        <f t="shared" si="33"/>
        <v>-9.719562580716767</v>
      </c>
      <c r="L42" s="27">
        <f>L31-L41</f>
        <v>236813961</v>
      </c>
      <c r="M42" s="22">
        <f t="shared" si="34"/>
        <v>22.98821973709837</v>
      </c>
      <c r="N42" s="27">
        <f>N31-N41</f>
        <v>573820163</v>
      </c>
      <c r="O42" s="22">
        <f t="shared" si="35"/>
        <v>52.56817590304317</v>
      </c>
      <c r="P42" s="27">
        <f>P31-P41</f>
        <v>90718253</v>
      </c>
      <c r="Q42" s="22">
        <f t="shared" si="36"/>
        <v>-7.7778518411069975</v>
      </c>
      <c r="R42" s="33">
        <f t="shared" si="28"/>
        <v>5486041173</v>
      </c>
      <c r="S42" s="22">
        <f t="shared" si="37"/>
        <v>23.290404376450002</v>
      </c>
      <c r="T42" s="27"/>
      <c r="U42" s="22"/>
      <c r="V42" s="27"/>
      <c r="W42" s="22"/>
      <c r="X42" s="27"/>
      <c r="Y42" s="22"/>
      <c r="Z42" s="27"/>
      <c r="AA42" s="22"/>
      <c r="AB42" s="27"/>
      <c r="AC42" s="22"/>
      <c r="AD42" s="27"/>
      <c r="AE42" s="22"/>
      <c r="AF42" s="27"/>
      <c r="AG42" s="22"/>
      <c r="AH42" s="27"/>
      <c r="AI42" s="22"/>
      <c r="AJ42" s="27"/>
      <c r="AK42" s="22"/>
      <c r="AL42" s="28"/>
    </row>
    <row r="43" spans="1:38" s="18" customFormat="1" ht="11.25">
      <c r="A43" s="18" t="s">
        <v>24</v>
      </c>
      <c r="B43" s="27">
        <v>102570797</v>
      </c>
      <c r="C43" s="22">
        <f t="shared" si="29"/>
        <v>14.010055170789904</v>
      </c>
      <c r="D43" s="27">
        <v>77641185</v>
      </c>
      <c r="E43" s="22">
        <f t="shared" si="30"/>
        <v>-4.305786856521543</v>
      </c>
      <c r="F43" s="27">
        <v>402340319</v>
      </c>
      <c r="G43" s="22">
        <f t="shared" si="31"/>
        <v>10.033615716076238</v>
      </c>
      <c r="H43" s="27">
        <v>47608641</v>
      </c>
      <c r="I43" s="22">
        <f t="shared" si="32"/>
        <v>-15.41789734829404</v>
      </c>
      <c r="J43" s="27">
        <v>169210318</v>
      </c>
      <c r="K43" s="22">
        <f t="shared" si="33"/>
        <v>-3.5005944730883476</v>
      </c>
      <c r="L43" s="27">
        <v>238566239</v>
      </c>
      <c r="M43" s="22">
        <f t="shared" si="34"/>
        <v>6.146995229832686</v>
      </c>
      <c r="N43" s="27">
        <v>604190236</v>
      </c>
      <c r="O43" s="22">
        <f t="shared" si="35"/>
        <v>37.444861016931874</v>
      </c>
      <c r="P43" s="27">
        <v>109823535</v>
      </c>
      <c r="Q43" s="22">
        <f t="shared" si="36"/>
        <v>6.098198092852081</v>
      </c>
      <c r="R43" s="33">
        <f t="shared" si="28"/>
        <v>5179721047</v>
      </c>
      <c r="S43" s="22">
        <f t="shared" si="37"/>
        <v>1.8600672376796856</v>
      </c>
      <c r="T43" s="27"/>
      <c r="U43" s="22"/>
      <c r="V43" s="27"/>
      <c r="W43" s="22"/>
      <c r="X43" s="27"/>
      <c r="Y43" s="22"/>
      <c r="Z43" s="27"/>
      <c r="AA43" s="22"/>
      <c r="AB43" s="27"/>
      <c r="AC43" s="22"/>
      <c r="AD43" s="27"/>
      <c r="AE43" s="22"/>
      <c r="AF43" s="27"/>
      <c r="AG43" s="22"/>
      <c r="AH43" s="27"/>
      <c r="AI43" s="22"/>
      <c r="AJ43" s="27"/>
      <c r="AK43" s="22"/>
      <c r="AL43" s="28"/>
    </row>
    <row r="44" spans="1:19" ht="11.25">
      <c r="A44" s="18" t="s">
        <v>21</v>
      </c>
      <c r="B44" s="27">
        <f>B32-B43</f>
        <v>102245871</v>
      </c>
      <c r="C44" s="22">
        <f t="shared" si="29"/>
        <v>0.02762537066378634</v>
      </c>
      <c r="D44" s="27">
        <f>D32-D43</f>
        <v>71294387</v>
      </c>
      <c r="E44" s="22">
        <f t="shared" si="30"/>
        <v>12.381135967022106</v>
      </c>
      <c r="F44" s="27">
        <f>F32-F43</f>
        <v>469341541</v>
      </c>
      <c r="G44" s="22">
        <f t="shared" si="31"/>
        <v>22.987384901412366</v>
      </c>
      <c r="H44" s="27">
        <f>H32-H43</f>
        <v>51434374</v>
      </c>
      <c r="I44" s="22">
        <f t="shared" si="32"/>
        <v>32.34681117239398</v>
      </c>
      <c r="J44" s="27">
        <f>J32-J43</f>
        <v>189047015</v>
      </c>
      <c r="K44" s="22">
        <f t="shared" si="33"/>
        <v>32.38745479331211</v>
      </c>
      <c r="L44" s="27">
        <f>L32-L43</f>
        <v>236656021</v>
      </c>
      <c r="M44" s="22">
        <f t="shared" si="34"/>
        <v>-0.06669370307943456</v>
      </c>
      <c r="N44" s="27">
        <f>N32-N43</f>
        <v>678933912</v>
      </c>
      <c r="O44" s="22">
        <f t="shared" si="35"/>
        <v>18.31823901942602</v>
      </c>
      <c r="P44" s="27">
        <f>P32-P43</f>
        <v>102984457</v>
      </c>
      <c r="Q44" s="22">
        <f t="shared" si="36"/>
        <v>13.52120835042976</v>
      </c>
      <c r="R44" s="33">
        <f t="shared" si="28"/>
        <v>5600326052</v>
      </c>
      <c r="S44" s="22">
        <f t="shared" si="37"/>
        <v>2.083193971683306</v>
      </c>
    </row>
    <row r="45" spans="1:19" ht="11.25">
      <c r="A45" s="18" t="s">
        <v>25</v>
      </c>
      <c r="B45" s="27">
        <v>165821073</v>
      </c>
      <c r="C45" s="22">
        <f t="shared" si="29"/>
        <v>61.66499417958116</v>
      </c>
      <c r="D45" s="27">
        <v>72161661</v>
      </c>
      <c r="E45" s="22">
        <f t="shared" si="30"/>
        <v>-7.057496610851577</v>
      </c>
      <c r="F45" s="27">
        <v>563482410</v>
      </c>
      <c r="G45" s="22">
        <f t="shared" si="31"/>
        <v>40.051191339836855</v>
      </c>
      <c r="H45" s="27">
        <v>54074935</v>
      </c>
      <c r="I45" s="22">
        <f t="shared" si="32"/>
        <v>13.582185637266985</v>
      </c>
      <c r="J45" s="27">
        <v>227501278</v>
      </c>
      <c r="K45" s="22">
        <f t="shared" si="33"/>
        <v>34.44882125923314</v>
      </c>
      <c r="L45" s="27">
        <v>246806312</v>
      </c>
      <c r="M45" s="22">
        <f t="shared" si="34"/>
        <v>3.4539979481338134</v>
      </c>
      <c r="N45" s="27">
        <v>594323939</v>
      </c>
      <c r="O45" s="22">
        <f t="shared" si="35"/>
        <v>-1.6329785574356714</v>
      </c>
      <c r="P45" s="27">
        <v>103514275</v>
      </c>
      <c r="Q45" s="22">
        <f t="shared" si="36"/>
        <v>-5.744907045652825</v>
      </c>
      <c r="R45" s="33">
        <f t="shared" si="28"/>
        <v>5497452692</v>
      </c>
      <c r="S45" s="22">
        <f t="shared" si="37"/>
        <v>6.134145876137942</v>
      </c>
    </row>
    <row r="46" spans="1:19" ht="11.25">
      <c r="A46" s="18" t="s">
        <v>21</v>
      </c>
      <c r="B46" s="27">
        <f>B33-B45</f>
        <v>110608482</v>
      </c>
      <c r="C46" s="22">
        <f t="shared" si="29"/>
        <v>8.17892294154352</v>
      </c>
      <c r="D46" s="27">
        <f>D33-D45</f>
        <v>72667313</v>
      </c>
      <c r="E46" s="22">
        <f t="shared" si="30"/>
        <v>1.9257140116794913</v>
      </c>
      <c r="F46" s="27">
        <f>F33-F45</f>
        <v>630793147</v>
      </c>
      <c r="G46" s="22">
        <f t="shared" si="31"/>
        <v>34.399598564406645</v>
      </c>
      <c r="H46" s="27">
        <f>H33-H45</f>
        <v>65658111</v>
      </c>
      <c r="I46" s="22">
        <f t="shared" si="32"/>
        <v>27.65414623302307</v>
      </c>
      <c r="J46" s="27">
        <f>J33-J45</f>
        <v>259889735</v>
      </c>
      <c r="K46" s="22">
        <f t="shared" si="33"/>
        <v>37.47359882937056</v>
      </c>
      <c r="L46" s="27">
        <f>L33-L45</f>
        <v>265793366</v>
      </c>
      <c r="M46" s="22">
        <f t="shared" si="34"/>
        <v>12.312108044781155</v>
      </c>
      <c r="N46" s="27">
        <f>N33-N45</f>
        <v>576841817</v>
      </c>
      <c r="O46" s="22">
        <f t="shared" si="35"/>
        <v>-15.03711822248761</v>
      </c>
      <c r="P46" s="27">
        <f>P33-P45</f>
        <v>114725576</v>
      </c>
      <c r="Q46" s="22">
        <f t="shared" si="36"/>
        <v>11.400865083941735</v>
      </c>
      <c r="R46" s="33">
        <f t="shared" si="28"/>
        <v>6151877410</v>
      </c>
      <c r="S46" s="22">
        <f t="shared" si="37"/>
        <v>9.848557974638439</v>
      </c>
    </row>
    <row r="47" spans="1:19" ht="11.25">
      <c r="A47" s="18" t="s">
        <v>26</v>
      </c>
      <c r="B47" s="27">
        <v>113549002</v>
      </c>
      <c r="C47" s="22">
        <f t="shared" si="29"/>
        <v>-31.523177394950274</v>
      </c>
      <c r="D47" s="27">
        <v>76016213</v>
      </c>
      <c r="E47" s="22">
        <f t="shared" si="30"/>
        <v>5.341551104262976</v>
      </c>
      <c r="F47" s="27">
        <v>766301075</v>
      </c>
      <c r="G47" s="22">
        <f t="shared" si="31"/>
        <v>35.993788164567555</v>
      </c>
      <c r="H47" s="27">
        <v>73904139</v>
      </c>
      <c r="I47" s="22">
        <f t="shared" si="32"/>
        <v>36.669861924013404</v>
      </c>
      <c r="J47" s="27">
        <v>266148493</v>
      </c>
      <c r="K47" s="22">
        <f t="shared" si="33"/>
        <v>16.98769138343039</v>
      </c>
      <c r="L47" s="27">
        <v>277288844</v>
      </c>
      <c r="M47" s="22">
        <f t="shared" si="34"/>
        <v>12.350791093219682</v>
      </c>
      <c r="N47" s="27">
        <v>376908922</v>
      </c>
      <c r="O47" s="22">
        <f t="shared" si="35"/>
        <v>-36.581904704329936</v>
      </c>
      <c r="P47" s="27">
        <v>117906365</v>
      </c>
      <c r="Q47" s="22">
        <f t="shared" si="36"/>
        <v>13.903483360145263</v>
      </c>
      <c r="R47" s="33">
        <f t="shared" si="28"/>
        <v>6075084863</v>
      </c>
      <c r="S47" s="22">
        <f t="shared" si="37"/>
        <v>10.507269518491391</v>
      </c>
    </row>
    <row r="48" spans="1:19" ht="11.25">
      <c r="A48" s="18" t="s">
        <v>21</v>
      </c>
      <c r="B48" s="24">
        <f>B34-B47</f>
        <v>131233790</v>
      </c>
      <c r="C48" s="22">
        <f t="shared" si="29"/>
        <v>18.64713051572302</v>
      </c>
      <c r="D48" s="24">
        <f>D34-D47</f>
        <v>59924782</v>
      </c>
      <c r="E48" s="22">
        <f t="shared" si="30"/>
        <v>-17.535437150400757</v>
      </c>
      <c r="F48" s="24">
        <f>F34-F47</f>
        <v>688862261</v>
      </c>
      <c r="G48" s="22">
        <f t="shared" si="31"/>
        <v>9.205730004546165</v>
      </c>
      <c r="H48" s="24">
        <f>H34-H47</f>
        <v>61624880</v>
      </c>
      <c r="I48" s="22">
        <f t="shared" si="32"/>
        <v>-6.142776480426004</v>
      </c>
      <c r="J48" s="24">
        <f>J34-J47</f>
        <v>221510049</v>
      </c>
      <c r="K48" s="22">
        <f t="shared" si="33"/>
        <v>-14.767680608855137</v>
      </c>
      <c r="L48" s="24">
        <f>L34-L47</f>
        <v>250577084</v>
      </c>
      <c r="M48" s="22">
        <f t="shared" si="34"/>
        <v>-5.724853945376496</v>
      </c>
      <c r="N48" s="24">
        <f>N34-N47</f>
        <v>350918837</v>
      </c>
      <c r="O48" s="22">
        <f t="shared" si="35"/>
        <v>-39.16549968151841</v>
      </c>
      <c r="P48" s="24">
        <f>P34-P47</f>
        <v>102910216</v>
      </c>
      <c r="Q48" s="22">
        <f t="shared" si="36"/>
        <v>-10.29880207356727</v>
      </c>
      <c r="R48" s="24">
        <f>R34-R47</f>
        <v>5915122164</v>
      </c>
      <c r="S48" s="22">
        <f t="shared" si="37"/>
        <v>-3.8485039642556895</v>
      </c>
    </row>
    <row r="49" spans="1:19" ht="11.25">
      <c r="A49" s="18" t="s">
        <v>27</v>
      </c>
      <c r="B49" s="24">
        <v>128236970</v>
      </c>
      <c r="C49" s="22">
        <f t="shared" si="29"/>
        <v>12.93535631427214</v>
      </c>
      <c r="D49" s="24">
        <v>65218712</v>
      </c>
      <c r="E49" s="22">
        <f t="shared" si="30"/>
        <v>-14.204207989156203</v>
      </c>
      <c r="F49" s="24">
        <v>726108080</v>
      </c>
      <c r="G49" s="22">
        <f t="shared" si="31"/>
        <v>-5.245065720415443</v>
      </c>
      <c r="H49" s="24">
        <v>70702549</v>
      </c>
      <c r="I49" s="22">
        <f t="shared" si="32"/>
        <v>-4.332084837630001</v>
      </c>
      <c r="J49" s="24">
        <v>183419523</v>
      </c>
      <c r="K49" s="22">
        <f t="shared" si="33"/>
        <v>-31.08376420527018</v>
      </c>
      <c r="L49" s="24">
        <v>228828515</v>
      </c>
      <c r="M49" s="22">
        <f t="shared" si="34"/>
        <v>-17.47647986876818</v>
      </c>
      <c r="N49" s="24">
        <v>360441326</v>
      </c>
      <c r="O49" s="22">
        <f t="shared" si="35"/>
        <v>-4.369118118143145</v>
      </c>
      <c r="P49" s="24">
        <v>102277705</v>
      </c>
      <c r="Q49" s="22">
        <f t="shared" si="36"/>
        <v>-13.255145301103976</v>
      </c>
      <c r="R49" s="24">
        <f>B25+P25+R25+B49+D49+F49+H49+J49+L49+N49+P49</f>
        <v>5989188807</v>
      </c>
      <c r="S49" s="22">
        <f t="shared" si="37"/>
        <v>-1.4139070965600076</v>
      </c>
    </row>
    <row r="50" spans="1:19" ht="11.25">
      <c r="A50" s="18" t="s">
        <v>21</v>
      </c>
      <c r="B50" s="27">
        <f>B35-B49</f>
        <v>135281872</v>
      </c>
      <c r="C50" s="22">
        <f t="shared" si="29"/>
        <v>3.084633919358737</v>
      </c>
      <c r="D50" s="27">
        <f>D35-D49</f>
        <v>62068524</v>
      </c>
      <c r="E50" s="22">
        <f t="shared" si="30"/>
        <v>3.577388066259468</v>
      </c>
      <c r="F50" s="27">
        <f>F35-F49</f>
        <v>735795291</v>
      </c>
      <c r="G50" s="22">
        <f t="shared" si="31"/>
        <v>6.813122543811412</v>
      </c>
      <c r="H50" s="27">
        <f>H35-H49</f>
        <v>70140468</v>
      </c>
      <c r="I50" s="22">
        <f t="shared" si="32"/>
        <v>13.81842528537176</v>
      </c>
      <c r="J50" s="27">
        <f>J35-J49</f>
        <v>215442628</v>
      </c>
      <c r="K50" s="22">
        <f t="shared" si="33"/>
        <v>-2.7391177183117343</v>
      </c>
      <c r="L50" s="27">
        <f>L35-L49</f>
        <v>276599332</v>
      </c>
      <c r="M50" s="22">
        <f t="shared" si="34"/>
        <v>10.38492729845959</v>
      </c>
      <c r="N50" s="27">
        <f>N35-N49</f>
        <v>487795995</v>
      </c>
      <c r="O50" s="22">
        <f t="shared" si="35"/>
        <v>39.005360661217516</v>
      </c>
      <c r="P50" s="27">
        <f>P35-P49</f>
        <v>123057199</v>
      </c>
      <c r="Q50" s="22">
        <f t="shared" si="36"/>
        <v>19.577242943499407</v>
      </c>
      <c r="R50" s="27">
        <f>R35-R49</f>
        <v>6015631489</v>
      </c>
      <c r="S50" s="22">
        <f t="shared" si="37"/>
        <v>1.6991927167913756</v>
      </c>
    </row>
    <row r="51" spans="1:19" ht="11.25">
      <c r="A51" s="18"/>
      <c r="B51" s="27"/>
      <c r="C51" s="22"/>
      <c r="D51" s="27"/>
      <c r="E51" s="22"/>
      <c r="F51" s="27"/>
      <c r="G51" s="22"/>
      <c r="H51" s="27"/>
      <c r="I51" s="22"/>
      <c r="J51" s="27"/>
      <c r="K51" s="22"/>
      <c r="L51" s="27"/>
      <c r="M51" s="22"/>
      <c r="N51" s="27"/>
      <c r="O51" s="22"/>
      <c r="P51" s="27"/>
      <c r="Q51" s="22"/>
      <c r="R51" s="27"/>
      <c r="S51" s="22"/>
    </row>
    <row r="52" spans="1:37" ht="11.25">
      <c r="A52" s="34"/>
      <c r="B52" s="34"/>
      <c r="E52" s="25"/>
      <c r="G52" s="25"/>
      <c r="I52" s="25"/>
      <c r="K52" s="25"/>
      <c r="M52" s="25"/>
      <c r="O52" s="25"/>
      <c r="Q52" s="25"/>
      <c r="S52" s="25"/>
      <c r="U52" s="25"/>
      <c r="W52" s="25"/>
      <c r="Y52" s="25"/>
      <c r="AA52" s="25"/>
      <c r="AC52" s="25"/>
      <c r="AE52" s="25"/>
      <c r="AG52" s="25"/>
      <c r="AI52" s="25"/>
      <c r="AK52" s="25"/>
    </row>
    <row r="53" spans="1:3" ht="11.25">
      <c r="A53" s="34"/>
      <c r="B53" s="34"/>
      <c r="C53" s="34"/>
    </row>
    <row r="54" spans="1:3" ht="11.25">
      <c r="A54" s="46" t="s">
        <v>37</v>
      </c>
      <c r="B54" s="34"/>
      <c r="C54" s="34"/>
    </row>
    <row r="55" spans="1:37" ht="11.25">
      <c r="A55" s="34"/>
      <c r="B55" s="28"/>
      <c r="C55" s="37"/>
      <c r="D55" s="28"/>
      <c r="E55" s="37"/>
      <c r="F55" s="28"/>
      <c r="G55" s="37"/>
      <c r="H55" s="28"/>
      <c r="I55" s="37"/>
      <c r="J55" s="28"/>
      <c r="K55" s="37"/>
      <c r="L55" s="28"/>
      <c r="M55" s="37"/>
      <c r="N55" s="28"/>
      <c r="O55" s="37"/>
      <c r="P55" s="28"/>
      <c r="Q55" s="37"/>
      <c r="R55" s="28"/>
      <c r="S55" s="37"/>
      <c r="T55" s="28"/>
      <c r="U55" s="37"/>
      <c r="V55" s="28"/>
      <c r="W55" s="37"/>
      <c r="X55" s="28"/>
      <c r="Y55" s="37"/>
      <c r="Z55" s="28"/>
      <c r="AA55" s="37"/>
      <c r="AB55" s="28"/>
      <c r="AC55" s="37"/>
      <c r="AD55" s="28"/>
      <c r="AE55" s="37"/>
      <c r="AF55" s="28"/>
      <c r="AG55" s="37"/>
      <c r="AH55" s="28"/>
      <c r="AI55" s="37"/>
      <c r="AJ55" s="28"/>
      <c r="AK55" s="37"/>
    </row>
    <row r="56" spans="1:37" ht="11.25">
      <c r="A56" s="46" t="s">
        <v>38</v>
      </c>
      <c r="B56" s="28"/>
      <c r="D56" s="28"/>
      <c r="E56" s="25"/>
      <c r="F56" s="28"/>
      <c r="G56" s="25"/>
      <c r="H56" s="28"/>
      <c r="I56" s="25"/>
      <c r="J56" s="28"/>
      <c r="K56" s="25"/>
      <c r="L56" s="28"/>
      <c r="M56" s="25"/>
      <c r="N56" s="28"/>
      <c r="O56" s="25"/>
      <c r="P56" s="28"/>
      <c r="Q56" s="25"/>
      <c r="R56" s="28"/>
      <c r="S56" s="25"/>
      <c r="T56" s="28"/>
      <c r="U56" s="25"/>
      <c r="V56" s="28"/>
      <c r="W56" s="25"/>
      <c r="X56" s="28"/>
      <c r="Y56" s="25"/>
      <c r="Z56" s="28"/>
      <c r="AA56" s="25"/>
      <c r="AB56" s="28"/>
      <c r="AC56" s="25"/>
      <c r="AD56" s="28"/>
      <c r="AE56" s="25"/>
      <c r="AF56" s="28"/>
      <c r="AG56" s="25"/>
      <c r="AH56" s="28"/>
      <c r="AI56" s="25"/>
      <c r="AJ56" s="28"/>
      <c r="AK56" s="25"/>
    </row>
    <row r="57" ht="11.25">
      <c r="A57" s="25" t="s">
        <v>39</v>
      </c>
    </row>
  </sheetData>
  <sheetProtection/>
  <printOptions horizontalCentered="1"/>
  <pageMargins left="0.1968503937007874" right="0.1968503937007874" top="0.5905511811023623" bottom="0.5905511811023623" header="0.11811023622047245" footer="0.11811023622047245"/>
  <pageSetup fitToHeight="1" fitToWidth="1" horizontalDpi="180" verticalDpi="180" orientation="landscape" paperSize="9" scale="73" r:id="rId2"/>
  <headerFooter alignWithMargins="0">
    <oddFooter>&amp;C&amp;F&amp;RPagina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Goldoni</dc:creator>
  <cp:keywords/>
  <dc:description/>
  <cp:lastModifiedBy>taddia_m</cp:lastModifiedBy>
  <cp:lastPrinted>2015-04-08T08:01:36Z</cp:lastPrinted>
  <dcterms:created xsi:type="dcterms:W3CDTF">2013-06-07T09:48:31Z</dcterms:created>
  <dcterms:modified xsi:type="dcterms:W3CDTF">2016-06-10T09:23:53Z</dcterms:modified>
  <cp:category/>
  <cp:version/>
  <cp:contentType/>
  <cp:contentStatus/>
</cp:coreProperties>
</file>