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9135" windowHeight="11580" activeTab="0"/>
  </bookViews>
  <sheets>
    <sheet name="DAL 2011" sheetId="1" r:id="rId1"/>
    <sheet name="dal 2002" sheetId="2" r:id="rId2"/>
    <sheet name="dal 1998" sheetId="3" r:id="rId3"/>
    <sheet name="1991-97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<sst xmlns="http://schemas.openxmlformats.org/spreadsheetml/2006/main" count="173" uniqueCount="93">
  <si>
    <t>DEPOSITI PER SETTORI DI ATTIVITA' ECONOMICA IN PROVINCIA DI MODENA</t>
  </si>
  <si>
    <t>Medie annue e consistenze trimestrali in milioni di euro</t>
  </si>
  <si>
    <t>PERIODI</t>
  </si>
  <si>
    <r>
      <t>PUBBLICA AMMINISTRAZIONE (</t>
    </r>
    <r>
      <rPr>
        <sz val="6"/>
        <rFont val="Arial"/>
        <family val="2"/>
      </rPr>
      <t>1)</t>
    </r>
  </si>
  <si>
    <r>
      <t>IMPRESE FINANZIARIE E DI ASSICURAZIONE (</t>
    </r>
    <r>
      <rPr>
        <sz val="6"/>
        <rFont val="Arial"/>
        <family val="2"/>
      </rPr>
      <t>21+25+27+29)</t>
    </r>
  </si>
  <si>
    <r>
      <t>IMPRESE A PARTECIPAZIONE STATALE  O LOCALE            (</t>
    </r>
    <r>
      <rPr>
        <sz val="6"/>
        <rFont val="Arial"/>
        <family val="2"/>
      </rPr>
      <t>47)</t>
    </r>
  </si>
  <si>
    <r>
      <t>IMPRESE PRIVATE            (</t>
    </r>
    <r>
      <rPr>
        <sz val="6"/>
        <rFont val="Arial"/>
        <family val="2"/>
      </rPr>
      <t>52)</t>
    </r>
  </si>
  <si>
    <r>
      <t>SOCIETA' E ASSOCIAZIONI NON FINANZIARIE (</t>
    </r>
    <r>
      <rPr>
        <sz val="6"/>
        <rFont val="Arial"/>
        <family val="2"/>
      </rPr>
      <t>45+49+48)</t>
    </r>
  </si>
  <si>
    <r>
      <t>ISTITUZIONI SOCIALI E ALTRE                   (</t>
    </r>
    <r>
      <rPr>
        <sz val="6"/>
        <rFont val="Arial"/>
        <family val="2"/>
      </rPr>
      <t>8)</t>
    </r>
  </si>
  <si>
    <r>
      <t>FAMIGLIE CONSUMATRICI                            (</t>
    </r>
    <r>
      <rPr>
        <sz val="6"/>
        <rFont val="Arial"/>
        <family val="2"/>
      </rPr>
      <t>60)</t>
    </r>
  </si>
  <si>
    <r>
      <t>FAMIGLIE PRODUTTRICI                              (</t>
    </r>
    <r>
      <rPr>
        <sz val="6"/>
        <rFont val="Arial"/>
        <family val="2"/>
      </rPr>
      <t>62)</t>
    </r>
  </si>
  <si>
    <r>
      <t>TOTALE (</t>
    </r>
    <r>
      <rPr>
        <sz val="6"/>
        <rFont val="Arial"/>
        <family val="2"/>
      </rPr>
      <t>03999-99)</t>
    </r>
  </si>
  <si>
    <t>Anno 2002</t>
  </si>
  <si>
    <t>2002  - 1° trim.</t>
  </si>
  <si>
    <t xml:space="preserve">                 - 2° trim.</t>
  </si>
  <si>
    <t xml:space="preserve">                 - 3° trim.</t>
  </si>
  <si>
    <t xml:space="preserve">                 - 4° trim.</t>
  </si>
  <si>
    <t>Medie annue e consistenze trimestrali in miliardi di lire</t>
  </si>
  <si>
    <t>Anno 1998</t>
  </si>
  <si>
    <t>Anno 1999</t>
  </si>
  <si>
    <t>Anno 2000</t>
  </si>
  <si>
    <t>Anno 2001</t>
  </si>
  <si>
    <t>1998 - 2° trim.</t>
  </si>
  <si>
    <t xml:space="preserve"> - 3° trim.</t>
  </si>
  <si>
    <t xml:space="preserve"> - 4° trim.</t>
  </si>
  <si>
    <t>1999  - 1° trim.</t>
  </si>
  <si>
    <t>2000  - 1° trim.</t>
  </si>
  <si>
    <t>2001  - 1° trim.</t>
  </si>
  <si>
    <t>PUBBLICA AMMINISTRAZIONE</t>
  </si>
  <si>
    <t>IMPRESE FINANZIARIE E DI ASSICURAZIONE</t>
  </si>
  <si>
    <t>IMPRESE A PARTECIPAZIONE STATALE  O LOCALE</t>
  </si>
  <si>
    <t>IMPRESE PRIVATE</t>
  </si>
  <si>
    <t>SOCIETA' E ASSOCIAZIONI NON FINANZIARIE</t>
  </si>
  <si>
    <t>ISTITUZIONI SOCIALI E ALTRE</t>
  </si>
  <si>
    <t>FAMIGLIE CONSUMATRICI</t>
  </si>
  <si>
    <t>FAMIGLIE PRODUTTRICI</t>
  </si>
  <si>
    <t>TOTALE</t>
  </si>
  <si>
    <t>Anno 1991</t>
  </si>
  <si>
    <t>Anno 1992</t>
  </si>
  <si>
    <t>Anno 1993</t>
  </si>
  <si>
    <t>Anno 1994</t>
  </si>
  <si>
    <t>Anno 1995</t>
  </si>
  <si>
    <t>Anno 1996</t>
  </si>
  <si>
    <t>Anno 1997</t>
  </si>
  <si>
    <t>1991 - 1° trim.</t>
  </si>
  <si>
    <t xml:space="preserve"> - 2° trim.</t>
  </si>
  <si>
    <t>1992 - 1° trim.</t>
  </si>
  <si>
    <t>1993 - 1° trim.</t>
  </si>
  <si>
    <t>1994 - 1° trim.</t>
  </si>
  <si>
    <t>1995 - 1° trim.</t>
  </si>
  <si>
    <t>1996 - 1° trim.</t>
  </si>
  <si>
    <t>-2° trim.</t>
  </si>
  <si>
    <t>-3° trim.</t>
  </si>
  <si>
    <t>- 4° trim.</t>
  </si>
  <si>
    <t>1997 - 1° trim.</t>
  </si>
  <si>
    <t>Anno 2003</t>
  </si>
  <si>
    <t>2003  - 1° trim.</t>
  </si>
  <si>
    <r>
      <t xml:space="preserve">PUBBLICA AMMINISTRAZIONE </t>
    </r>
    <r>
      <rPr>
        <sz val="6"/>
        <rFont val="Arial"/>
        <family val="2"/>
      </rPr>
      <t>(1)</t>
    </r>
  </si>
  <si>
    <r>
      <t xml:space="preserve">IMPRESE FINANZIARIE E DI ASSICURAZIONE </t>
    </r>
    <r>
      <rPr>
        <sz val="6"/>
        <rFont val="Arial"/>
        <family val="2"/>
      </rPr>
      <t>(21+25+27+29)</t>
    </r>
  </si>
  <si>
    <r>
      <t xml:space="preserve">IMPRESE A PARTECIPAZIONE STATALE  O LOCALE            </t>
    </r>
    <r>
      <rPr>
        <sz val="6"/>
        <rFont val="Arial"/>
        <family val="2"/>
      </rPr>
      <t>(47)</t>
    </r>
  </si>
  <si>
    <t>Anno 2004</t>
  </si>
  <si>
    <t>2004  - 1° trim.</t>
  </si>
  <si>
    <t>Anno 2005</t>
  </si>
  <si>
    <t>2005  - 1° trim.</t>
  </si>
  <si>
    <t>2006  - 1° trim.</t>
  </si>
  <si>
    <t>2007  - 1° trim.</t>
  </si>
  <si>
    <t>Anno 2006</t>
  </si>
  <si>
    <t>Anno 2007</t>
  </si>
  <si>
    <t>2008  - 1° trim.</t>
  </si>
  <si>
    <t>Anno 2008</t>
  </si>
  <si>
    <t>2009  - 1° trim.</t>
  </si>
  <si>
    <t>Anno 2009</t>
  </si>
  <si>
    <t>Anno 2010</t>
  </si>
  <si>
    <t>2010  - 1° trim.</t>
  </si>
  <si>
    <t>DEPOSITI E RISPARMIO POSTALE PER SETTORI DI ATTIVITA' ECONOMICA IN PROVINCIA DI MODENA</t>
  </si>
  <si>
    <t>Anno 2011</t>
  </si>
  <si>
    <t>2011  - 1° trim.</t>
  </si>
  <si>
    <t>2010  - 3° trim.</t>
  </si>
  <si>
    <t>Anno 2012</t>
  </si>
  <si>
    <t>2012  - 1° trim.</t>
  </si>
  <si>
    <t>2013  - 1° trim.</t>
  </si>
  <si>
    <t>Anno 2013</t>
  </si>
  <si>
    <t>PUBBLICA AMMINISTRAZIONE (S13)</t>
  </si>
  <si>
    <t>SOCIETA' NON FINANZIARIE (S11)</t>
  </si>
  <si>
    <t>SOCIETA' FINANZIARIE DIVERSE DA ISTITUZIONI FINANZIARIE MONETARIE (S12BI7)</t>
  </si>
  <si>
    <t>FAMIGLIE PRODUTTRICI (S14BI3)</t>
  </si>
  <si>
    <t>FAMIGLIE CONSUMATRICI, ISTITUZIONI SOC.PRIVATE (SBI28)</t>
  </si>
  <si>
    <t>2014  - 1° trim.</t>
  </si>
  <si>
    <t>Anno 2014</t>
  </si>
  <si>
    <t>2015  - 1° trim.</t>
  </si>
  <si>
    <t>2016  - 1° trim.</t>
  </si>
  <si>
    <t>QUASI SOCIETA' NON FINANZIARIE (Artigiane + Altre)</t>
  </si>
  <si>
    <t>Anno 2015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</si>
</sst>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00"/>
    <numFmt numFmtId="171" formatCode="0.000"/>
    <numFmt numFmtId="172" formatCode="#,##0.0##################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Alignment="1">
      <alignment/>
    </xf>
    <xf numFmtId="0" fontId="4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3" fontId="5" fillId="0" borderId="16" xfId="0" applyNumberFormat="1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left" vertical="center" wrapText="1"/>
    </xf>
    <xf numFmtId="3" fontId="5" fillId="0" borderId="0" xfId="0" applyNumberFormat="1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right"/>
    </xf>
    <xf numFmtId="3" fontId="5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3" fontId="6" fillId="0" borderId="16" xfId="0" applyNumberFormat="1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left" vertical="center" wrapText="1"/>
    </xf>
    <xf numFmtId="3" fontId="0" fillId="0" borderId="11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3" fontId="0" fillId="0" borderId="0" xfId="0" applyNumberFormat="1" applyFont="1" applyBorder="1" applyAlignment="1">
      <alignment horizontal="left" vertical="center" wrapText="1"/>
    </xf>
    <xf numFmtId="3" fontId="0" fillId="0" borderId="0" xfId="0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center" vertical="center" wrapText="1"/>
    </xf>
    <xf numFmtId="3" fontId="6" fillId="0" borderId="0" xfId="0" applyNumberFormat="1" applyFont="1" applyBorder="1" applyAlignment="1">
      <alignment horizontal="center" vertical="center" wrapText="1"/>
    </xf>
    <xf numFmtId="3" fontId="6" fillId="0" borderId="17" xfId="0" applyNumberFormat="1" applyFont="1" applyBorder="1" applyAlignment="1">
      <alignment horizontal="center" vertical="center" wrapText="1"/>
    </xf>
    <xf numFmtId="3" fontId="0" fillId="0" borderId="0" xfId="0" applyNumberFormat="1" applyBorder="1" applyAlignment="1">
      <alignment horizontal="right"/>
    </xf>
    <xf numFmtId="3" fontId="0" fillId="0" borderId="0" xfId="0" applyNumberForma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3" fontId="0" fillId="0" borderId="0" xfId="46" applyNumberFormat="1" applyFont="1" applyAlignment="1">
      <alignment/>
    </xf>
    <xf numFmtId="3" fontId="0" fillId="0" borderId="0" xfId="46" applyNumberFormat="1" applyFon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Border="1" applyAlignment="1" quotePrefix="1">
      <alignment horizontal="right"/>
    </xf>
    <xf numFmtId="3" fontId="0" fillId="0" borderId="0" xfId="0" applyNumberFormat="1" applyAlignment="1">
      <alignment horizontal="right"/>
    </xf>
    <xf numFmtId="170" fontId="5" fillId="0" borderId="0" xfId="0" applyNumberFormat="1" applyFont="1" applyAlignment="1">
      <alignment/>
    </xf>
    <xf numFmtId="170" fontId="5" fillId="0" borderId="0" xfId="0" applyNumberFormat="1" applyFont="1" applyFill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38100</xdr:rowOff>
    </xdr:from>
    <xdr:to>
      <xdr:col>3</xdr:col>
      <xdr:colOff>723900</xdr:colOff>
      <xdr:row>36</xdr:row>
      <xdr:rowOff>95250</xdr:rowOff>
    </xdr:to>
    <xdr:sp>
      <xdr:nvSpPr>
        <xdr:cNvPr id="1" name="Testo 2"/>
        <xdr:cNvSpPr txBox="1">
          <a:spLocks noChangeArrowheads="1"/>
        </xdr:cNvSpPr>
      </xdr:nvSpPr>
      <xdr:spPr>
        <a:xfrm>
          <a:off x="0" y="5229225"/>
          <a:ext cx="344805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Fonte: Banca d'Italia - Segnalazioni di vigilanza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TDB 10163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51</xdr:row>
      <xdr:rowOff>38100</xdr:rowOff>
    </xdr:from>
    <xdr:to>
      <xdr:col>2</xdr:col>
      <xdr:colOff>723900</xdr:colOff>
      <xdr:row>53</xdr:row>
      <xdr:rowOff>95250</xdr:rowOff>
    </xdr:to>
    <xdr:sp>
      <xdr:nvSpPr>
        <xdr:cNvPr id="1" name="Testo 2"/>
        <xdr:cNvSpPr txBox="1">
          <a:spLocks noChangeArrowheads="1"/>
        </xdr:cNvSpPr>
      </xdr:nvSpPr>
      <xdr:spPr>
        <a:xfrm>
          <a:off x="0" y="7953375"/>
          <a:ext cx="2619375" cy="3619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Fonte: Banca d'Italia - Segnalazioni di vigilanza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TDB 10279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47625</xdr:rowOff>
    </xdr:from>
    <xdr:to>
      <xdr:col>2</xdr:col>
      <xdr:colOff>723900</xdr:colOff>
      <xdr:row>27</xdr:row>
      <xdr:rowOff>95250</xdr:rowOff>
    </xdr:to>
    <xdr:sp>
      <xdr:nvSpPr>
        <xdr:cNvPr id="1" name="Testo 2"/>
        <xdr:cNvSpPr txBox="1">
          <a:spLocks noChangeArrowheads="1"/>
        </xdr:cNvSpPr>
      </xdr:nvSpPr>
      <xdr:spPr>
        <a:xfrm>
          <a:off x="0" y="4267200"/>
          <a:ext cx="2619375" cy="371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Fonte: Banca d'Italia - Segnalazioni di vigilanza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TDB 10279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40</xdr:row>
      <xdr:rowOff>76200</xdr:rowOff>
    </xdr:from>
    <xdr:to>
      <xdr:col>2</xdr:col>
      <xdr:colOff>828675</xdr:colOff>
      <xdr:row>42</xdr:row>
      <xdr:rowOff>95250</xdr:rowOff>
    </xdr:to>
    <xdr:sp>
      <xdr:nvSpPr>
        <xdr:cNvPr id="1" name="Testo 2"/>
        <xdr:cNvSpPr txBox="1">
          <a:spLocks noChangeArrowheads="1"/>
        </xdr:cNvSpPr>
      </xdr:nvSpPr>
      <xdr:spPr>
        <a:xfrm>
          <a:off x="0" y="7000875"/>
          <a:ext cx="274320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Fonte: Banca d'Italia - Segnalazioni di vigilanza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tab. 34 -  tdb10282 - serie interrotta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DIC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Popolazione"/>
      <sheetName val="Lavoro"/>
      <sheetName val="Redd. e Cons."/>
      <sheetName val="Imprese"/>
      <sheetName val="Agricoltura"/>
      <sheetName val="Ind. Manifatt."/>
      <sheetName val="Edilizia"/>
      <sheetName val="Import Export"/>
      <sheetName val="Comm. e Servizi"/>
      <sheetName val="Credito e insol."/>
      <sheetName val="Prezzi"/>
      <sheetName val="Modulo1"/>
      <sheetName val="Modulo2"/>
    </sheetNames>
    <definedNames>
      <definedName name="chiusura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PageLayoutView="0" workbookViewId="0" topLeftCell="A4">
      <selection activeCell="B9" sqref="B9"/>
    </sheetView>
  </sheetViews>
  <sheetFormatPr defaultColWidth="9.140625" defaultRowHeight="10.5" customHeight="1"/>
  <cols>
    <col min="1" max="1" width="13.421875" style="4" customWidth="1"/>
    <col min="2" max="2" width="15.00390625" style="4" customWidth="1"/>
    <col min="3" max="3" width="12.421875" style="4" customWidth="1"/>
    <col min="4" max="4" width="18.421875" style="4" customWidth="1"/>
    <col min="5" max="5" width="16.00390625" style="4" customWidth="1"/>
    <col min="6" max="6" width="11.00390625" style="4" customWidth="1"/>
    <col min="7" max="7" width="14.7109375" style="4" customWidth="1"/>
    <col min="8" max="8" width="9.57421875" style="4" customWidth="1"/>
    <col min="9" max="16384" width="9.140625" style="4" customWidth="1"/>
  </cols>
  <sheetData>
    <row r="1" spans="1:8" ht="10.5" customHeight="1">
      <c r="A1" s="1" t="s">
        <v>74</v>
      </c>
      <c r="B1" s="2"/>
      <c r="C1" s="2"/>
      <c r="D1" s="2"/>
      <c r="E1" s="2"/>
      <c r="F1" s="2"/>
      <c r="G1" s="2"/>
      <c r="H1" s="3"/>
    </row>
    <row r="2" spans="1:8" ht="10.5" customHeight="1">
      <c r="A2" s="5" t="s">
        <v>1</v>
      </c>
      <c r="B2" s="6"/>
      <c r="C2" s="6"/>
      <c r="D2" s="6"/>
      <c r="E2" s="6"/>
      <c r="F2" s="6"/>
      <c r="G2" s="6"/>
      <c r="H2" s="7"/>
    </row>
    <row r="4" spans="1:8" ht="62.25" customHeight="1">
      <c r="A4" s="8" t="s">
        <v>2</v>
      </c>
      <c r="B4" s="8" t="s">
        <v>82</v>
      </c>
      <c r="C4" s="8" t="s">
        <v>83</v>
      </c>
      <c r="D4" s="8" t="s">
        <v>84</v>
      </c>
      <c r="E4" s="8" t="s">
        <v>91</v>
      </c>
      <c r="F4" s="8" t="s">
        <v>85</v>
      </c>
      <c r="G4" s="8" t="s">
        <v>86</v>
      </c>
      <c r="H4" s="8" t="s">
        <v>36</v>
      </c>
    </row>
    <row r="5" spans="1:8" ht="10.5" customHeight="1">
      <c r="A5" s="9" t="s">
        <v>75</v>
      </c>
      <c r="B5" s="36">
        <f aca="true" t="shared" si="0" ref="B5:G5">SUM(B13:B16)/4</f>
        <v>191.1515</v>
      </c>
      <c r="C5" s="36">
        <f t="shared" si="0"/>
        <v>2738.83575</v>
      </c>
      <c r="D5" s="36">
        <f t="shared" si="0"/>
        <v>271.72625</v>
      </c>
      <c r="E5" s="36">
        <f t="shared" si="0"/>
        <v>247.97674999999998</v>
      </c>
      <c r="F5" s="36">
        <f t="shared" si="0"/>
        <v>714.1445</v>
      </c>
      <c r="G5" s="36">
        <f t="shared" si="0"/>
        <v>9328.256249999999</v>
      </c>
      <c r="H5" s="36">
        <f>SUM(H13:H16)/4</f>
        <v>13244.11425</v>
      </c>
    </row>
    <row r="6" spans="1:8" ht="10.5" customHeight="1">
      <c r="A6" s="9" t="s">
        <v>78</v>
      </c>
      <c r="B6" s="36">
        <f aca="true" t="shared" si="1" ref="B6:G6">SUM(B17:B20)/4</f>
        <v>129.4135</v>
      </c>
      <c r="C6" s="36">
        <f t="shared" si="1"/>
        <v>3094.099</v>
      </c>
      <c r="D6" s="36">
        <f t="shared" si="1"/>
        <v>414.957</v>
      </c>
      <c r="E6" s="36">
        <f t="shared" si="1"/>
        <v>267.3405</v>
      </c>
      <c r="F6" s="36">
        <f t="shared" si="1"/>
        <v>759.1165</v>
      </c>
      <c r="G6" s="36">
        <f t="shared" si="1"/>
        <v>10643.1965</v>
      </c>
      <c r="H6" s="36">
        <f>SUM(H17:H20)/4</f>
        <v>15040.782500000001</v>
      </c>
    </row>
    <row r="7" spans="1:8" ht="10.5" customHeight="1">
      <c r="A7" s="9" t="s">
        <v>81</v>
      </c>
      <c r="B7" s="36">
        <f aca="true" t="shared" si="2" ref="B7:G7">SUM(B21:B24)/4</f>
        <v>102.015</v>
      </c>
      <c r="C7" s="36">
        <f t="shared" si="2"/>
        <v>3470.98025</v>
      </c>
      <c r="D7" s="36">
        <f t="shared" si="2"/>
        <v>469.98075000000006</v>
      </c>
      <c r="E7" s="36">
        <f t="shared" si="2"/>
        <v>276.98125</v>
      </c>
      <c r="F7" s="36">
        <f t="shared" si="2"/>
        <v>779.5365</v>
      </c>
      <c r="G7" s="36">
        <f t="shared" si="2"/>
        <v>11765.286</v>
      </c>
      <c r="H7" s="36">
        <f>SUM(H21:H24)/4</f>
        <v>16587.798499999997</v>
      </c>
    </row>
    <row r="8" spans="1:8" ht="10.5" customHeight="1">
      <c r="A8" s="9" t="s">
        <v>88</v>
      </c>
      <c r="B8" s="36">
        <f>SUM(B25:B28)/4</f>
        <v>90.71225</v>
      </c>
      <c r="C8" s="36">
        <f aca="true" t="shared" si="3" ref="C8:G9">SUM(C25:C28)/4</f>
        <v>3438.081</v>
      </c>
      <c r="D8" s="36">
        <f t="shared" si="3"/>
        <v>693.4447500000001</v>
      </c>
      <c r="E8" s="36">
        <f t="shared" si="3"/>
        <v>266.77025000000003</v>
      </c>
      <c r="F8" s="36">
        <f t="shared" si="3"/>
        <v>771.70575</v>
      </c>
      <c r="G8" s="36">
        <f t="shared" si="3"/>
        <v>12025.912250000001</v>
      </c>
      <c r="H8" s="36">
        <f>SUM(H25:H28)/4</f>
        <v>17019.856</v>
      </c>
    </row>
    <row r="9" spans="1:8" ht="10.5" customHeight="1">
      <c r="A9" s="9" t="s">
        <v>92</v>
      </c>
      <c r="B9" s="36">
        <f>SUM(B29:B32)/4</f>
        <v>75.58025</v>
      </c>
      <c r="C9" s="36">
        <f aca="true" t="shared" si="4" ref="C9:H9">SUM(C29:C32)/4</f>
        <v>3497.291</v>
      </c>
      <c r="D9" s="36">
        <f t="shared" si="4"/>
        <v>873.341</v>
      </c>
      <c r="E9" s="36">
        <f t="shared" si="4"/>
        <v>278.60625</v>
      </c>
      <c r="F9" s="36">
        <f t="shared" si="4"/>
        <v>791.922</v>
      </c>
      <c r="G9" s="36">
        <f t="shared" si="4"/>
        <v>12458.377</v>
      </c>
      <c r="H9" s="36">
        <f t="shared" si="4"/>
        <v>17696.51125</v>
      </c>
    </row>
    <row r="10" spans="1:8" ht="10.5" customHeight="1">
      <c r="A10" s="10"/>
      <c r="B10" s="12"/>
      <c r="C10" s="12"/>
      <c r="D10" s="12"/>
      <c r="E10" s="12"/>
      <c r="F10" s="12"/>
      <c r="G10" s="12"/>
      <c r="H10" s="12"/>
    </row>
    <row r="11" spans="1:8" ht="10.5" customHeight="1">
      <c r="A11" s="11" t="s">
        <v>77</v>
      </c>
      <c r="B11" s="36">
        <v>176.598</v>
      </c>
      <c r="C11" s="36">
        <v>2636.473</v>
      </c>
      <c r="D11" s="36">
        <v>391.836</v>
      </c>
      <c r="E11" s="36">
        <f>99.011+146.585</f>
        <v>245.596</v>
      </c>
      <c r="F11" s="36">
        <v>713.562</v>
      </c>
      <c r="G11" s="36">
        <v>9456.636</v>
      </c>
      <c r="H11" s="36">
        <f>B11+C11+D11+E11+F11+G11-E11</f>
        <v>13375.105000000001</v>
      </c>
    </row>
    <row r="12" spans="1:8" ht="10.5" customHeight="1">
      <c r="A12" s="4" t="s">
        <v>16</v>
      </c>
      <c r="B12" s="36">
        <v>200.839</v>
      </c>
      <c r="C12" s="36">
        <v>2825.591</v>
      </c>
      <c r="D12" s="36">
        <v>331.276</v>
      </c>
      <c r="E12" s="36">
        <f>105.322+141.754</f>
        <v>247.076</v>
      </c>
      <c r="F12" s="36">
        <v>719.772</v>
      </c>
      <c r="G12" s="36">
        <v>9529.908</v>
      </c>
      <c r="H12" s="36">
        <f aca="true" t="shared" si="5" ref="H12:H24">B12+C12+D12+E12+F12+G12-E12</f>
        <v>13607.386</v>
      </c>
    </row>
    <row r="13" spans="1:8" ht="10.5" customHeight="1">
      <c r="A13" s="11" t="s">
        <v>76</v>
      </c>
      <c r="B13" s="36">
        <v>167.93</v>
      </c>
      <c r="C13" s="36">
        <v>2673.436</v>
      </c>
      <c r="D13" s="36">
        <v>315.391</v>
      </c>
      <c r="E13" s="36">
        <f>96.59+143.845</f>
        <v>240.435</v>
      </c>
      <c r="F13" s="36">
        <v>704.873</v>
      </c>
      <c r="G13" s="36">
        <v>9261.839</v>
      </c>
      <c r="H13" s="36">
        <f t="shared" si="5"/>
        <v>13123.469000000001</v>
      </c>
    </row>
    <row r="14" spans="1:8" ht="10.5" customHeight="1">
      <c r="A14" s="4" t="s">
        <v>14</v>
      </c>
      <c r="B14" s="36">
        <v>212.53</v>
      </c>
      <c r="C14" s="36">
        <v>2761.18</v>
      </c>
      <c r="D14" s="36">
        <v>300.306</v>
      </c>
      <c r="E14" s="36">
        <f>102.758+147.745</f>
        <v>250.503</v>
      </c>
      <c r="F14" s="36">
        <v>710.986</v>
      </c>
      <c r="G14" s="36">
        <v>8986.757</v>
      </c>
      <c r="H14" s="36">
        <f t="shared" si="5"/>
        <v>12971.758999999998</v>
      </c>
    </row>
    <row r="15" spans="1:8" ht="10.5" customHeight="1">
      <c r="A15" s="4" t="s">
        <v>15</v>
      </c>
      <c r="B15" s="36">
        <v>173.568</v>
      </c>
      <c r="C15" s="36">
        <v>2653.064</v>
      </c>
      <c r="D15" s="36">
        <v>231.624</v>
      </c>
      <c r="E15" s="36">
        <f>93.762+143.425</f>
        <v>237.187</v>
      </c>
      <c r="F15" s="36">
        <v>707.928</v>
      </c>
      <c r="G15" s="36">
        <v>9311.55</v>
      </c>
      <c r="H15" s="36">
        <f t="shared" si="5"/>
        <v>13077.733999999999</v>
      </c>
    </row>
    <row r="16" spans="1:9" ht="10.5" customHeight="1">
      <c r="A16" s="4" t="s">
        <v>16</v>
      </c>
      <c r="B16" s="36">
        <v>210.578</v>
      </c>
      <c r="C16" s="36">
        <v>2867.663</v>
      </c>
      <c r="D16" s="36">
        <v>239.584</v>
      </c>
      <c r="E16" s="36">
        <f>103.148+160.634</f>
        <v>263.782</v>
      </c>
      <c r="F16" s="36">
        <v>732.791</v>
      </c>
      <c r="G16" s="36">
        <v>9752.879</v>
      </c>
      <c r="H16" s="36">
        <f t="shared" si="5"/>
        <v>13803.495000000003</v>
      </c>
      <c r="I16" s="36"/>
    </row>
    <row r="17" spans="1:8" ht="10.5" customHeight="1">
      <c r="A17" s="11" t="s">
        <v>79</v>
      </c>
      <c r="B17" s="36">
        <v>163.47</v>
      </c>
      <c r="C17" s="36">
        <v>2836.049</v>
      </c>
      <c r="D17" s="36">
        <v>365.514</v>
      </c>
      <c r="E17" s="36">
        <f>98.253+150.166</f>
        <v>248.41899999999998</v>
      </c>
      <c r="F17" s="36">
        <v>720.05</v>
      </c>
      <c r="G17" s="36">
        <v>9923.249</v>
      </c>
      <c r="H17" s="36">
        <f t="shared" si="5"/>
        <v>14008.332</v>
      </c>
    </row>
    <row r="18" spans="1:8" ht="10.5" customHeight="1">
      <c r="A18" s="4" t="s">
        <v>14</v>
      </c>
      <c r="B18" s="36">
        <v>133.314</v>
      </c>
      <c r="C18" s="36">
        <v>3091.762</v>
      </c>
      <c r="D18" s="36">
        <v>423.847</v>
      </c>
      <c r="E18" s="36">
        <f>109.334+161.285</f>
        <v>270.619</v>
      </c>
      <c r="F18" s="36">
        <v>768.596</v>
      </c>
      <c r="G18" s="36">
        <v>10353.727</v>
      </c>
      <c r="H18" s="36">
        <f t="shared" si="5"/>
        <v>14771.246000000001</v>
      </c>
    </row>
    <row r="19" spans="1:8" ht="10.5" customHeight="1">
      <c r="A19" s="4" t="s">
        <v>15</v>
      </c>
      <c r="B19" s="36">
        <v>118.179</v>
      </c>
      <c r="C19" s="36">
        <v>3176.52</v>
      </c>
      <c r="D19" s="36">
        <v>449.282</v>
      </c>
      <c r="E19" s="36">
        <f>114.581+168.984</f>
        <v>283.565</v>
      </c>
      <c r="F19" s="36">
        <v>769.659</v>
      </c>
      <c r="G19" s="36">
        <v>10784.984</v>
      </c>
      <c r="H19" s="36">
        <f t="shared" si="5"/>
        <v>15298.624</v>
      </c>
    </row>
    <row r="20" spans="1:8" ht="10.5" customHeight="1">
      <c r="A20" s="4" t="s">
        <v>16</v>
      </c>
      <c r="B20" s="36">
        <v>102.691</v>
      </c>
      <c r="C20" s="36">
        <v>3272.065</v>
      </c>
      <c r="D20" s="36">
        <v>421.185</v>
      </c>
      <c r="E20" s="36">
        <f>104.525+162.234</f>
        <v>266.759</v>
      </c>
      <c r="F20" s="36">
        <v>778.161</v>
      </c>
      <c r="G20" s="36">
        <v>11510.826</v>
      </c>
      <c r="H20" s="36">
        <f>B20+C20+D20+E20+F20+G20-E20</f>
        <v>16084.927999999998</v>
      </c>
    </row>
    <row r="21" spans="1:8" ht="10.5" customHeight="1">
      <c r="A21" s="11" t="s">
        <v>80</v>
      </c>
      <c r="B21" s="36">
        <v>99.292</v>
      </c>
      <c r="C21" s="36">
        <v>3305.881</v>
      </c>
      <c r="D21" s="36">
        <v>520.931</v>
      </c>
      <c r="E21" s="36">
        <f>111.811+167.713</f>
        <v>279.524</v>
      </c>
      <c r="F21" s="36">
        <v>792.542</v>
      </c>
      <c r="G21" s="36">
        <v>11689.305</v>
      </c>
      <c r="H21" s="36">
        <f t="shared" si="5"/>
        <v>16407.950999999997</v>
      </c>
    </row>
    <row r="22" spans="1:8" ht="10.5" customHeight="1">
      <c r="A22" s="4" t="s">
        <v>14</v>
      </c>
      <c r="B22" s="36">
        <v>111.452</v>
      </c>
      <c r="C22" s="36">
        <v>3809.664</v>
      </c>
      <c r="D22" s="36">
        <v>532.624</v>
      </c>
      <c r="E22" s="36">
        <f>126.833+179.303</f>
        <v>306.13599999999997</v>
      </c>
      <c r="F22" s="36">
        <v>807.656</v>
      </c>
      <c r="G22" s="36">
        <v>11746.795</v>
      </c>
      <c r="H22" s="36">
        <f t="shared" si="5"/>
        <v>17008.191000000003</v>
      </c>
    </row>
    <row r="23" spans="1:8" ht="10.5" customHeight="1">
      <c r="A23" s="4" t="s">
        <v>15</v>
      </c>
      <c r="B23" s="36">
        <v>104.421</v>
      </c>
      <c r="C23" s="36">
        <v>3402.58</v>
      </c>
      <c r="D23" s="36">
        <v>376.699</v>
      </c>
      <c r="E23" s="36">
        <v>259.885</v>
      </c>
      <c r="F23" s="36">
        <v>751.691</v>
      </c>
      <c r="G23" s="36">
        <v>11735.561</v>
      </c>
      <c r="H23" s="36">
        <f t="shared" si="5"/>
        <v>16370.952</v>
      </c>
    </row>
    <row r="24" spans="1:8" ht="10.5" customHeight="1">
      <c r="A24" s="4" t="s">
        <v>16</v>
      </c>
      <c r="B24" s="36">
        <v>92.895</v>
      </c>
      <c r="C24" s="36">
        <v>3365.796</v>
      </c>
      <c r="D24" s="36">
        <v>449.669</v>
      </c>
      <c r="E24" s="36">
        <v>262.38</v>
      </c>
      <c r="F24" s="36">
        <v>766.257</v>
      </c>
      <c r="G24" s="36">
        <v>11889.483</v>
      </c>
      <c r="H24" s="36">
        <f t="shared" si="5"/>
        <v>16564.1</v>
      </c>
    </row>
    <row r="25" spans="1:8" ht="10.5" customHeight="1">
      <c r="A25" s="11" t="s">
        <v>87</v>
      </c>
      <c r="B25" s="36">
        <v>82.454</v>
      </c>
      <c r="C25" s="36">
        <v>3267.148</v>
      </c>
      <c r="D25" s="36">
        <v>616.644</v>
      </c>
      <c r="E25" s="36">
        <v>260.048</v>
      </c>
      <c r="F25" s="36">
        <v>767.07</v>
      </c>
      <c r="G25" s="36">
        <v>11688.166</v>
      </c>
      <c r="H25" s="36">
        <f>B25+C25+D25+E25+F25+G25-E25</f>
        <v>16421.482</v>
      </c>
    </row>
    <row r="26" spans="1:8" ht="10.5" customHeight="1">
      <c r="A26" s="4" t="s">
        <v>14</v>
      </c>
      <c r="B26" s="36">
        <v>97.205</v>
      </c>
      <c r="C26" s="36">
        <v>3461.116</v>
      </c>
      <c r="D26" s="36">
        <v>679.678</v>
      </c>
      <c r="E26" s="36">
        <v>272.188</v>
      </c>
      <c r="F26" s="36">
        <v>781.143</v>
      </c>
      <c r="G26" s="36">
        <v>11854.726</v>
      </c>
      <c r="H26" s="36">
        <f>B26+C26+D26+E26+F26+G26-E26</f>
        <v>16873.868000000002</v>
      </c>
    </row>
    <row r="27" spans="1:8" ht="10.5" customHeight="1">
      <c r="A27" s="4" t="s">
        <v>15</v>
      </c>
      <c r="B27" s="36">
        <v>97.383</v>
      </c>
      <c r="C27" s="36">
        <v>3550.458</v>
      </c>
      <c r="D27" s="36">
        <v>656.891</v>
      </c>
      <c r="E27" s="36">
        <v>265.705</v>
      </c>
      <c r="F27" s="36">
        <v>760.394</v>
      </c>
      <c r="G27" s="36">
        <v>12033.294</v>
      </c>
      <c r="H27" s="36">
        <f>B27+C27+D27+E27+F27+G27-E27</f>
        <v>17098.42</v>
      </c>
    </row>
    <row r="28" spans="1:8" ht="10.5" customHeight="1">
      <c r="A28" s="4" t="s">
        <v>16</v>
      </c>
      <c r="B28" s="36">
        <v>85.807</v>
      </c>
      <c r="C28" s="36">
        <v>3473.602</v>
      </c>
      <c r="D28" s="36">
        <v>820.566</v>
      </c>
      <c r="E28" s="36">
        <v>269.14</v>
      </c>
      <c r="F28" s="36">
        <v>778.216</v>
      </c>
      <c r="G28" s="36">
        <v>12527.463</v>
      </c>
      <c r="H28" s="36">
        <f>B28+C28+D28+E28+F28+G28-E28</f>
        <v>17685.654000000002</v>
      </c>
    </row>
    <row r="29" spans="1:8" ht="10.5" customHeight="1">
      <c r="A29" s="11" t="s">
        <v>89</v>
      </c>
      <c r="B29" s="36">
        <v>68.79</v>
      </c>
      <c r="C29" s="36">
        <v>3267.148</v>
      </c>
      <c r="D29" s="36">
        <v>732.355</v>
      </c>
      <c r="E29" s="36">
        <f>102.594+169.987</f>
        <v>272.581</v>
      </c>
      <c r="F29" s="36">
        <v>781.655</v>
      </c>
      <c r="G29" s="36">
        <v>12337.727</v>
      </c>
      <c r="H29" s="36">
        <f>B29+C29+D29+E29+F29+G29-E29</f>
        <v>17187.675000000003</v>
      </c>
    </row>
    <row r="30" spans="1:8" ht="10.5" customHeight="1">
      <c r="A30" s="4" t="s">
        <v>14</v>
      </c>
      <c r="B30" s="36">
        <v>74.53</v>
      </c>
      <c r="C30" s="36">
        <v>3466.456</v>
      </c>
      <c r="D30" s="36">
        <v>904.846</v>
      </c>
      <c r="E30" s="36">
        <f>108.891+170.228</f>
        <v>279.119</v>
      </c>
      <c r="F30" s="36">
        <v>807.825</v>
      </c>
      <c r="G30" s="36">
        <v>12329.038</v>
      </c>
      <c r="H30" s="36">
        <f>B30+C30+D30+E30+F30+G30-E30</f>
        <v>17582.695</v>
      </c>
    </row>
    <row r="31" spans="1:8" ht="10.5" customHeight="1">
      <c r="A31" s="4" t="s">
        <v>15</v>
      </c>
      <c r="B31" s="36">
        <v>88.49</v>
      </c>
      <c r="C31" s="36">
        <v>3534.284</v>
      </c>
      <c r="D31" s="36">
        <v>910.554</v>
      </c>
      <c r="E31" s="36">
        <f>108.203+168.942</f>
        <v>277.145</v>
      </c>
      <c r="F31" s="36">
        <v>779.88</v>
      </c>
      <c r="G31" s="36">
        <v>12190.43</v>
      </c>
      <c r="H31" s="36">
        <f>B31+C31+D31+E31+F31+G31-E31</f>
        <v>17503.638</v>
      </c>
    </row>
    <row r="32" spans="1:8" ht="10.5" customHeight="1">
      <c r="A32" s="4" t="s">
        <v>16</v>
      </c>
      <c r="B32" s="36">
        <v>70.511</v>
      </c>
      <c r="C32" s="36">
        <v>3721.276</v>
      </c>
      <c r="D32" s="36">
        <v>945.609</v>
      </c>
      <c r="E32" s="36">
        <f>109.247+176.333</f>
        <v>285.58</v>
      </c>
      <c r="F32" s="36">
        <v>798.328</v>
      </c>
      <c r="G32" s="36">
        <v>12976.313</v>
      </c>
      <c r="H32" s="36">
        <f>B32+C32+D32+E32+F32+G32-E32</f>
        <v>18512.036999999997</v>
      </c>
    </row>
    <row r="33" spans="1:8" ht="10.5" customHeight="1">
      <c r="A33" s="11" t="s">
        <v>90</v>
      </c>
      <c r="B33" s="36">
        <v>65.032</v>
      </c>
      <c r="C33" s="36">
        <v>3747.804</v>
      </c>
      <c r="D33" s="36">
        <v>742.172</v>
      </c>
      <c r="E33" s="36">
        <f>105.035+178.344</f>
        <v>283.379</v>
      </c>
      <c r="F33" s="36">
        <v>840.065</v>
      </c>
      <c r="G33" s="36">
        <v>12489.61</v>
      </c>
      <c r="H33" s="36">
        <f>B33+C33+D33+E33+F33+G33-E33</f>
        <v>17884.682999999997</v>
      </c>
    </row>
    <row r="34" spans="2:8" ht="10.5" customHeight="1">
      <c r="B34" s="12"/>
      <c r="C34" s="12"/>
      <c r="D34" s="12"/>
      <c r="E34" s="12"/>
      <c r="F34" s="36"/>
      <c r="G34" s="12"/>
      <c r="H34" s="12"/>
    </row>
    <row r="35" ht="10.5" customHeight="1">
      <c r="F35" s="12"/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showGridLines="0" zoomScalePageLayoutView="0" workbookViewId="0" topLeftCell="A1">
      <pane ySplit="4" topLeftCell="A5" activePane="bottomLeft" state="frozen"/>
      <selection pane="topLeft" activeCell="A1" sqref="A1"/>
      <selection pane="bottomLeft" activeCell="A23" sqref="A23"/>
    </sheetView>
  </sheetViews>
  <sheetFormatPr defaultColWidth="9.140625" defaultRowHeight="12.75"/>
  <cols>
    <col min="1" max="1" width="13.421875" style="4" customWidth="1"/>
    <col min="2" max="2" width="15.00390625" style="4" customWidth="1"/>
    <col min="3" max="3" width="14.421875" style="4" customWidth="1"/>
    <col min="4" max="4" width="18.140625" style="4" customWidth="1"/>
    <col min="5" max="5" width="9.57421875" style="4" customWidth="1"/>
    <col min="6" max="6" width="14.00390625" style="4" customWidth="1"/>
    <col min="7" max="7" width="12.57421875" style="4" customWidth="1"/>
    <col min="8" max="8" width="14.7109375" style="4" customWidth="1"/>
    <col min="9" max="9" width="12.28125" style="4" customWidth="1"/>
    <col min="10" max="10" width="9.57421875" style="4" customWidth="1"/>
    <col min="11" max="16384" width="9.140625" style="4" customWidth="1"/>
  </cols>
  <sheetData>
    <row r="1" spans="1:10" ht="11.25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</row>
    <row r="2" spans="1:10" ht="11.25">
      <c r="A2" s="5" t="s">
        <v>1</v>
      </c>
      <c r="B2" s="6"/>
      <c r="C2" s="6"/>
      <c r="D2" s="6"/>
      <c r="E2" s="6"/>
      <c r="F2" s="6"/>
      <c r="G2" s="6"/>
      <c r="H2" s="6"/>
      <c r="I2" s="6"/>
      <c r="J2" s="7"/>
    </row>
    <row r="4" spans="1:10" ht="59.25" customHeight="1">
      <c r="A4" s="8" t="s">
        <v>2</v>
      </c>
      <c r="B4" s="8" t="s">
        <v>57</v>
      </c>
      <c r="C4" s="8" t="s">
        <v>58</v>
      </c>
      <c r="D4" s="8" t="s">
        <v>59</v>
      </c>
      <c r="E4" s="8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</row>
    <row r="5" spans="1:10" ht="11.25">
      <c r="A5" s="9" t="s">
        <v>12</v>
      </c>
      <c r="B5" s="36">
        <f>SUM(B15:B18)/4</f>
        <v>87.31975</v>
      </c>
      <c r="C5" s="36">
        <f aca="true" t="shared" si="0" ref="C5:J5">SUM(C15:C18)/4</f>
        <v>97.73775</v>
      </c>
      <c r="D5" s="36">
        <f t="shared" si="0"/>
        <v>21.986</v>
      </c>
      <c r="E5" s="36">
        <f t="shared" si="0"/>
        <v>1284.2715</v>
      </c>
      <c r="F5" s="36">
        <f t="shared" si="0"/>
        <v>250.29549999999998</v>
      </c>
      <c r="G5" s="36">
        <f t="shared" si="0"/>
        <v>99.3525</v>
      </c>
      <c r="H5" s="36">
        <f t="shared" si="0"/>
        <v>4319.57475</v>
      </c>
      <c r="I5" s="36">
        <f t="shared" si="0"/>
        <v>524.1415</v>
      </c>
      <c r="J5" s="36">
        <f t="shared" si="0"/>
        <v>6684.679249999999</v>
      </c>
    </row>
    <row r="6" spans="1:10" ht="11.25">
      <c r="A6" s="9" t="s">
        <v>55</v>
      </c>
      <c r="B6" s="36">
        <f>SUM(B19:B22)/4</f>
        <v>127.44725</v>
      </c>
      <c r="C6" s="36">
        <f aca="true" t="shared" si="1" ref="C6:J6">SUM(C19:C22)/4</f>
        <v>130.977</v>
      </c>
      <c r="D6" s="36">
        <f t="shared" si="1"/>
        <v>29.95025</v>
      </c>
      <c r="E6" s="36">
        <f t="shared" si="1"/>
        <v>1418.8097500000001</v>
      </c>
      <c r="F6" s="36">
        <f t="shared" si="1"/>
        <v>244.6755</v>
      </c>
      <c r="G6" s="36">
        <f>SUM(G19:G22)/4</f>
        <v>115.0375</v>
      </c>
      <c r="H6" s="36">
        <f t="shared" si="1"/>
        <v>4778.5855</v>
      </c>
      <c r="I6" s="36">
        <f t="shared" si="1"/>
        <v>562.2840000000001</v>
      </c>
      <c r="J6" s="36">
        <f t="shared" si="1"/>
        <v>7407.76675</v>
      </c>
    </row>
    <row r="7" spans="1:10" ht="11.25">
      <c r="A7" s="9" t="s">
        <v>60</v>
      </c>
      <c r="B7" s="36">
        <f>SUM(B23:B26)/4</f>
        <v>123.94625</v>
      </c>
      <c r="C7" s="36">
        <f aca="true" t="shared" si="2" ref="C7:J7">SUM(C23:C26)/4</f>
        <v>197.1155</v>
      </c>
      <c r="D7" s="36">
        <f t="shared" si="2"/>
        <v>30.10325</v>
      </c>
      <c r="E7" s="36">
        <f t="shared" si="2"/>
        <v>1584.76725</v>
      </c>
      <c r="F7" s="36">
        <f t="shared" si="2"/>
        <v>260.82475</v>
      </c>
      <c r="G7" s="36">
        <f t="shared" si="2"/>
        <v>124.14299999999999</v>
      </c>
      <c r="H7" s="36">
        <f t="shared" si="2"/>
        <v>5028.333500000001</v>
      </c>
      <c r="I7" s="36">
        <f t="shared" si="2"/>
        <v>579.72525</v>
      </c>
      <c r="J7" s="36">
        <f t="shared" si="2"/>
        <v>7928.95875</v>
      </c>
    </row>
    <row r="8" spans="1:10" ht="11.25">
      <c r="A8" s="9" t="s">
        <v>62</v>
      </c>
      <c r="B8" s="36">
        <f>SUM(B27:B30)/4</f>
        <v>144.4525</v>
      </c>
      <c r="C8" s="36">
        <f aca="true" t="shared" si="3" ref="C8:I8">SUM(C27:C30)/4</f>
        <v>194.93325</v>
      </c>
      <c r="D8" s="36">
        <f t="shared" si="3"/>
        <v>25.342750000000002</v>
      </c>
      <c r="E8" s="36">
        <f t="shared" si="3"/>
        <v>1650.05925</v>
      </c>
      <c r="F8" s="36">
        <f t="shared" si="3"/>
        <v>280.19175</v>
      </c>
      <c r="G8" s="36">
        <f t="shared" si="3"/>
        <v>133.642</v>
      </c>
      <c r="H8" s="36">
        <f t="shared" si="3"/>
        <v>5256.4275</v>
      </c>
      <c r="I8" s="36">
        <f t="shared" si="3"/>
        <v>600.6822500000001</v>
      </c>
      <c r="J8" s="36">
        <f>SUM(B8:I8)</f>
        <v>8285.731249999999</v>
      </c>
    </row>
    <row r="9" spans="1:10" ht="11.25">
      <c r="A9" s="9" t="s">
        <v>66</v>
      </c>
      <c r="B9" s="36">
        <f aca="true" t="shared" si="4" ref="B9:I9">SUM(B31:B34)/4</f>
        <v>137.33149999999998</v>
      </c>
      <c r="C9" s="36">
        <f t="shared" si="4"/>
        <v>234.005</v>
      </c>
      <c r="D9" s="36">
        <f t="shared" si="4"/>
        <v>18.573</v>
      </c>
      <c r="E9" s="36">
        <f t="shared" si="4"/>
        <v>1878.9254999999998</v>
      </c>
      <c r="F9" s="36">
        <f t="shared" si="4"/>
        <v>294.8015</v>
      </c>
      <c r="G9" s="36">
        <f t="shared" si="4"/>
        <v>149.85049999999998</v>
      </c>
      <c r="H9" s="36">
        <f t="shared" si="4"/>
        <v>5427.485500000001</v>
      </c>
      <c r="I9" s="36">
        <f t="shared" si="4"/>
        <v>630.027</v>
      </c>
      <c r="J9" s="36">
        <f>SUM(B9:I9)</f>
        <v>8770.999500000002</v>
      </c>
    </row>
    <row r="10" spans="1:10" ht="11.25">
      <c r="A10" s="9" t="s">
        <v>67</v>
      </c>
      <c r="B10" s="36">
        <f aca="true" t="shared" si="5" ref="B10:I10">SUM(B35:B38)/4</f>
        <v>165.87725</v>
      </c>
      <c r="C10" s="36">
        <f t="shared" si="5"/>
        <v>256.692</v>
      </c>
      <c r="D10" s="36">
        <f t="shared" si="5"/>
        <v>17.452</v>
      </c>
      <c r="E10" s="36">
        <f t="shared" si="5"/>
        <v>1975.15525</v>
      </c>
      <c r="F10" s="36">
        <f t="shared" si="5"/>
        <v>298.37875</v>
      </c>
      <c r="G10" s="36">
        <f t="shared" si="5"/>
        <v>163.51049999999998</v>
      </c>
      <c r="H10" s="36">
        <f t="shared" si="5"/>
        <v>5456.16675</v>
      </c>
      <c r="I10" s="36">
        <f t="shared" si="5"/>
        <v>620.9285</v>
      </c>
      <c r="J10" s="36">
        <f>SUM(B10:I10)</f>
        <v>8954.161</v>
      </c>
    </row>
    <row r="11" spans="1:10" ht="11.25">
      <c r="A11" s="9" t="s">
        <v>69</v>
      </c>
      <c r="B11" s="36">
        <f>SUM(B39:B42)/4</f>
        <v>169.1125</v>
      </c>
      <c r="C11" s="36">
        <f aca="true" t="shared" si="6" ref="C11:J11">SUM(C39:C42)/4</f>
        <v>197.1885</v>
      </c>
      <c r="D11" s="36">
        <f t="shared" si="6"/>
        <v>20.23725</v>
      </c>
      <c r="E11" s="36">
        <f t="shared" si="6"/>
        <v>2049.0445</v>
      </c>
      <c r="F11" s="36">
        <f t="shared" si="6"/>
        <v>276.21624999999995</v>
      </c>
      <c r="G11" s="36">
        <f t="shared" si="6"/>
        <v>171.77550000000002</v>
      </c>
      <c r="H11" s="36">
        <f t="shared" si="6"/>
        <v>6181.67325</v>
      </c>
      <c r="I11" s="36">
        <f>SUM(I39:I42)/4</f>
        <v>656.13675</v>
      </c>
      <c r="J11" s="36">
        <f t="shared" si="6"/>
        <v>9721.3845</v>
      </c>
    </row>
    <row r="12" spans="1:10" ht="11.25">
      <c r="A12" s="9" t="s">
        <v>71</v>
      </c>
      <c r="B12" s="36">
        <f>SUM(B43:B46)/4</f>
        <v>170.65625</v>
      </c>
      <c r="C12" s="36">
        <f aca="true" t="shared" si="7" ref="C12:J12">SUM(C43:C46)/4</f>
        <v>269.00975</v>
      </c>
      <c r="D12" s="36">
        <f t="shared" si="7"/>
        <v>21.411250000000003</v>
      </c>
      <c r="E12" s="36">
        <f>SUM(E43:E47)/4</f>
        <v>2665.12475</v>
      </c>
      <c r="F12" s="36">
        <f t="shared" si="7"/>
        <v>272.5145</v>
      </c>
      <c r="G12" s="36">
        <f>SUM(G43:G46)/4</f>
        <v>159.09525</v>
      </c>
      <c r="H12" s="36">
        <f t="shared" si="7"/>
        <v>7736.20875</v>
      </c>
      <c r="I12" s="36">
        <f>SUM(I43:I47)/4</f>
        <v>933.5375</v>
      </c>
      <c r="J12" s="36">
        <f t="shared" si="7"/>
        <v>11505.46925</v>
      </c>
    </row>
    <row r="13" spans="1:10" ht="11.25">
      <c r="A13" s="9" t="s">
        <v>72</v>
      </c>
      <c r="B13" s="36">
        <f>SUM(B47:B50)/4</f>
        <v>167.93925000000002</v>
      </c>
      <c r="C13" s="36">
        <f aca="true" t="shared" si="8" ref="C13:J13">SUM(C47:C50)/4</f>
        <v>338.41825</v>
      </c>
      <c r="D13" s="36">
        <f t="shared" si="8"/>
        <v>15.071</v>
      </c>
      <c r="E13" s="36">
        <f t="shared" si="8"/>
        <v>2214.6245</v>
      </c>
      <c r="F13" s="36">
        <f t="shared" si="8"/>
        <v>263.322</v>
      </c>
      <c r="G13" s="36">
        <f t="shared" si="8"/>
        <v>171.58675000000002</v>
      </c>
      <c r="H13" s="36">
        <f t="shared" si="8"/>
        <v>7657.61675</v>
      </c>
      <c r="I13" s="36">
        <f t="shared" si="8"/>
        <v>727.4635</v>
      </c>
      <c r="J13" s="36">
        <f t="shared" si="8"/>
        <v>11556.042</v>
      </c>
    </row>
    <row r="14" spans="1:10" ht="11.25">
      <c r="A14" s="10"/>
      <c r="B14" s="12"/>
      <c r="C14" s="12"/>
      <c r="D14" s="12"/>
      <c r="E14" s="12"/>
      <c r="F14" s="12"/>
      <c r="G14" s="12"/>
      <c r="H14" s="12"/>
      <c r="I14" s="12"/>
      <c r="J14" s="12"/>
    </row>
    <row r="15" spans="1:10" ht="11.25">
      <c r="A15" s="11" t="s">
        <v>13</v>
      </c>
      <c r="B15" s="36">
        <v>73.956</v>
      </c>
      <c r="C15" s="36">
        <v>67.278</v>
      </c>
      <c r="D15" s="36">
        <v>24.413</v>
      </c>
      <c r="E15" s="36">
        <v>1149.581</v>
      </c>
      <c r="F15" s="36">
        <v>252.701</v>
      </c>
      <c r="G15" s="36">
        <v>98.114</v>
      </c>
      <c r="H15" s="36">
        <v>4127.91</v>
      </c>
      <c r="I15" s="36">
        <v>513.696</v>
      </c>
      <c r="J15" s="36">
        <f aca="true" t="shared" si="9" ref="J15:J50">SUM(B15:I15)</f>
        <v>6307.648999999999</v>
      </c>
    </row>
    <row r="16" spans="1:10" ht="11.25">
      <c r="A16" s="4" t="s">
        <v>14</v>
      </c>
      <c r="B16" s="36">
        <v>69.167</v>
      </c>
      <c r="C16" s="36">
        <v>106.034</v>
      </c>
      <c r="D16" s="36">
        <v>19.537</v>
      </c>
      <c r="E16" s="36">
        <v>1207.217</v>
      </c>
      <c r="F16" s="36">
        <v>254.32</v>
      </c>
      <c r="G16" s="36">
        <v>99.137</v>
      </c>
      <c r="H16" s="36">
        <v>4230.829</v>
      </c>
      <c r="I16" s="36">
        <v>523.378</v>
      </c>
      <c r="J16" s="36">
        <f t="shared" si="9"/>
        <v>6509.619</v>
      </c>
    </row>
    <row r="17" spans="1:10" ht="11.25">
      <c r="A17" s="4" t="s">
        <v>15</v>
      </c>
      <c r="B17" s="36">
        <v>97.035</v>
      </c>
      <c r="C17" s="36">
        <v>116.05</v>
      </c>
      <c r="D17" s="36">
        <v>17.514</v>
      </c>
      <c r="E17" s="36">
        <v>1246.711</v>
      </c>
      <c r="F17" s="36">
        <v>247.92</v>
      </c>
      <c r="G17" s="36">
        <v>105.174</v>
      </c>
      <c r="H17" s="36">
        <v>4313.595</v>
      </c>
      <c r="I17" s="36">
        <v>523.012</v>
      </c>
      <c r="J17" s="36">
        <f t="shared" si="9"/>
        <v>6667.0109999999995</v>
      </c>
    </row>
    <row r="18" spans="1:10" ht="11.25">
      <c r="A18" s="4" t="s">
        <v>16</v>
      </c>
      <c r="B18" s="36">
        <v>109.121</v>
      </c>
      <c r="C18" s="36">
        <v>101.589</v>
      </c>
      <c r="D18" s="36">
        <v>26.48</v>
      </c>
      <c r="E18" s="36">
        <v>1533.577</v>
      </c>
      <c r="F18" s="36">
        <v>246.241</v>
      </c>
      <c r="G18" s="36">
        <v>94.985</v>
      </c>
      <c r="H18" s="36">
        <v>4605.965</v>
      </c>
      <c r="I18" s="36">
        <v>536.48</v>
      </c>
      <c r="J18" s="36">
        <f t="shared" si="9"/>
        <v>7254.438</v>
      </c>
    </row>
    <row r="19" spans="1:10" ht="11.25">
      <c r="A19" s="11" t="s">
        <v>56</v>
      </c>
      <c r="B19" s="36">
        <v>122.263</v>
      </c>
      <c r="C19" s="36">
        <f>86.865+18.366+2.363</f>
        <v>107.594</v>
      </c>
      <c r="D19" s="36">
        <v>17.699</v>
      </c>
      <c r="E19" s="36">
        <v>1344.396</v>
      </c>
      <c r="F19" s="36">
        <f>110.52+124.042+6.684</f>
        <v>241.246</v>
      </c>
      <c r="G19" s="36">
        <v>106.815</v>
      </c>
      <c r="H19" s="36">
        <v>4620.902</v>
      </c>
      <c r="I19" s="36">
        <v>543.269</v>
      </c>
      <c r="J19" s="36">
        <f t="shared" si="9"/>
        <v>7104.184</v>
      </c>
    </row>
    <row r="20" spans="1:10" ht="11.25">
      <c r="A20" s="4" t="s">
        <v>14</v>
      </c>
      <c r="B20" s="36">
        <v>116.021</v>
      </c>
      <c r="C20" s="36">
        <f>3.859+28.885+89.204</f>
        <v>121.948</v>
      </c>
      <c r="D20" s="36">
        <v>29.321</v>
      </c>
      <c r="E20" s="36">
        <v>1404.832</v>
      </c>
      <c r="F20" s="36">
        <f>6.245+125.921+112.214</f>
        <v>244.38</v>
      </c>
      <c r="G20" s="36">
        <v>113.905</v>
      </c>
      <c r="H20" s="36">
        <v>4768.669</v>
      </c>
      <c r="I20" s="36">
        <v>573.227</v>
      </c>
      <c r="J20" s="36">
        <f t="shared" si="9"/>
        <v>7372.303</v>
      </c>
    </row>
    <row r="21" spans="1:10" ht="11.25">
      <c r="A21" s="4" t="s">
        <v>15</v>
      </c>
      <c r="B21" s="36">
        <v>119.821</v>
      </c>
      <c r="C21" s="36">
        <f>81.775+46.016+4.864</f>
        <v>132.655</v>
      </c>
      <c r="D21" s="36">
        <v>57.017</v>
      </c>
      <c r="E21" s="36">
        <v>1433.426</v>
      </c>
      <c r="F21" s="36">
        <f>111.788+127.442+7.181</f>
        <v>246.411</v>
      </c>
      <c r="G21" s="36">
        <v>108.887</v>
      </c>
      <c r="H21" s="36">
        <v>4779.41</v>
      </c>
      <c r="I21" s="36">
        <v>558.132</v>
      </c>
      <c r="J21" s="36">
        <f t="shared" si="9"/>
        <v>7435.759</v>
      </c>
    </row>
    <row r="22" spans="1:10" ht="11.25">
      <c r="A22" s="4" t="s">
        <v>16</v>
      </c>
      <c r="B22" s="36">
        <v>151.684</v>
      </c>
      <c r="C22" s="36">
        <f>24.318+34.392+103.001</f>
        <v>161.711</v>
      </c>
      <c r="D22" s="36">
        <v>15.764</v>
      </c>
      <c r="E22" s="36">
        <v>1492.585</v>
      </c>
      <c r="F22" s="36">
        <f>8.138+135.221+103.306</f>
        <v>246.66500000000002</v>
      </c>
      <c r="G22" s="36">
        <v>130.543</v>
      </c>
      <c r="H22" s="36">
        <v>4945.361</v>
      </c>
      <c r="I22" s="36">
        <v>574.508</v>
      </c>
      <c r="J22" s="36">
        <f t="shared" si="9"/>
        <v>7718.821</v>
      </c>
    </row>
    <row r="23" spans="1:10" ht="11.25">
      <c r="A23" s="11" t="s">
        <v>61</v>
      </c>
      <c r="B23" s="36">
        <v>128.913</v>
      </c>
      <c r="C23" s="36">
        <v>184.031</v>
      </c>
      <c r="D23" s="36">
        <v>25.251</v>
      </c>
      <c r="E23" s="36">
        <v>1456.319</v>
      </c>
      <c r="F23" s="36">
        <f>10.435+105.958+126.904</f>
        <v>243.297</v>
      </c>
      <c r="G23" s="36">
        <v>141.54</v>
      </c>
      <c r="H23" s="36">
        <v>4968.075</v>
      </c>
      <c r="I23" s="36">
        <v>576.284</v>
      </c>
      <c r="J23" s="37">
        <f t="shared" si="9"/>
        <v>7723.709999999999</v>
      </c>
    </row>
    <row r="24" spans="1:10" ht="11.25">
      <c r="A24" s="4" t="s">
        <v>14</v>
      </c>
      <c r="B24" s="36">
        <v>134.26</v>
      </c>
      <c r="C24" s="36">
        <v>193.234</v>
      </c>
      <c r="D24" s="36">
        <v>31.745</v>
      </c>
      <c r="E24" s="36">
        <v>1569.07</v>
      </c>
      <c r="F24" s="36">
        <f>13.444+115.274+137.335</f>
        <v>266.053</v>
      </c>
      <c r="G24" s="36">
        <v>115.776</v>
      </c>
      <c r="H24" s="36">
        <v>4963.179</v>
      </c>
      <c r="I24" s="36">
        <v>586.479</v>
      </c>
      <c r="J24" s="36">
        <f t="shared" si="9"/>
        <v>7859.796</v>
      </c>
    </row>
    <row r="25" spans="1:10" ht="11.25">
      <c r="A25" s="4" t="s">
        <v>15</v>
      </c>
      <c r="B25" s="36">
        <v>115.504</v>
      </c>
      <c r="C25" s="36">
        <v>182.868</v>
      </c>
      <c r="D25" s="36">
        <v>36.546</v>
      </c>
      <c r="E25" s="36">
        <v>1570.269</v>
      </c>
      <c r="F25" s="36">
        <f>12.446+117.603+134.502</f>
        <v>264.55100000000004</v>
      </c>
      <c r="G25" s="36">
        <v>116.914</v>
      </c>
      <c r="H25" s="36">
        <v>4937.413</v>
      </c>
      <c r="I25" s="36">
        <v>584.216</v>
      </c>
      <c r="J25" s="36">
        <f t="shared" si="9"/>
        <v>7808.281</v>
      </c>
    </row>
    <row r="26" spans="1:10" ht="11.25">
      <c r="A26" s="4" t="s">
        <v>16</v>
      </c>
      <c r="B26" s="36">
        <v>117.108</v>
      </c>
      <c r="C26" s="36">
        <v>228.329</v>
      </c>
      <c r="D26" s="36">
        <v>26.871</v>
      </c>
      <c r="E26" s="36">
        <v>1743.411</v>
      </c>
      <c r="F26" s="36">
        <f>12.645+108.812+147.941</f>
        <v>269.398</v>
      </c>
      <c r="G26" s="36">
        <v>122.342</v>
      </c>
      <c r="H26" s="36">
        <v>5244.667</v>
      </c>
      <c r="I26" s="36">
        <v>571.922</v>
      </c>
      <c r="J26" s="36">
        <f t="shared" si="9"/>
        <v>8324.048</v>
      </c>
    </row>
    <row r="27" spans="1:10" ht="11.25">
      <c r="A27" s="11" t="s">
        <v>63</v>
      </c>
      <c r="B27" s="36">
        <v>123.053</v>
      </c>
      <c r="C27" s="36">
        <v>146.711</v>
      </c>
      <c r="D27" s="36">
        <v>29.885</v>
      </c>
      <c r="E27" s="36">
        <v>1586.223</v>
      </c>
      <c r="F27" s="36">
        <f>14.301+109.8+140.487</f>
        <v>264.58799999999997</v>
      </c>
      <c r="G27" s="36">
        <v>129.443</v>
      </c>
      <c r="H27" s="36">
        <v>5224.45</v>
      </c>
      <c r="I27" s="36">
        <v>569.499</v>
      </c>
      <c r="J27" s="36">
        <f>SUM(B27:I27)</f>
        <v>8073.852</v>
      </c>
    </row>
    <row r="28" spans="1:10" ht="11.25">
      <c r="A28" s="4" t="s">
        <v>14</v>
      </c>
      <c r="B28" s="36">
        <v>121.217</v>
      </c>
      <c r="C28" s="36">
        <v>264.876</v>
      </c>
      <c r="D28" s="36">
        <v>25.016</v>
      </c>
      <c r="E28" s="36">
        <v>1627.827</v>
      </c>
      <c r="F28" s="36">
        <f>15.298+116.411+143.922</f>
        <v>275.631</v>
      </c>
      <c r="G28" s="36">
        <v>136.676</v>
      </c>
      <c r="H28" s="36">
        <v>5261.222</v>
      </c>
      <c r="I28" s="36">
        <v>609.069</v>
      </c>
      <c r="J28" s="36">
        <f t="shared" si="9"/>
        <v>8321.534</v>
      </c>
    </row>
    <row r="29" spans="1:10" ht="11.25">
      <c r="A29" s="4" t="s">
        <v>15</v>
      </c>
      <c r="B29" s="36">
        <v>141.739</v>
      </c>
      <c r="C29" s="36">
        <v>175.448</v>
      </c>
      <c r="D29" s="36">
        <v>28.504</v>
      </c>
      <c r="E29" s="36">
        <v>1679.286</v>
      </c>
      <c r="F29" s="36">
        <f>141.893+121.176+22.827</f>
        <v>285.896</v>
      </c>
      <c r="G29" s="36">
        <v>142.087</v>
      </c>
      <c r="H29" s="36">
        <v>5166.253</v>
      </c>
      <c r="I29" s="36">
        <v>610.1</v>
      </c>
      <c r="J29" s="36">
        <f t="shared" si="9"/>
        <v>8229.313</v>
      </c>
    </row>
    <row r="30" spans="1:10" ht="11.25">
      <c r="A30" s="4" t="s">
        <v>16</v>
      </c>
      <c r="B30" s="36">
        <v>191.801</v>
      </c>
      <c r="C30" s="36">
        <v>192.698</v>
      </c>
      <c r="D30" s="36">
        <v>17.966</v>
      </c>
      <c r="E30" s="36">
        <v>1706.901</v>
      </c>
      <c r="F30" s="36">
        <f>26.062+117.471+151.119</f>
        <v>294.65200000000004</v>
      </c>
      <c r="G30" s="36">
        <v>126.362</v>
      </c>
      <c r="H30" s="36">
        <v>5373.785</v>
      </c>
      <c r="I30" s="36">
        <v>614.061</v>
      </c>
      <c r="J30" s="36">
        <f t="shared" si="9"/>
        <v>8518.226</v>
      </c>
    </row>
    <row r="31" spans="1:10" ht="11.25">
      <c r="A31" s="11" t="s">
        <v>64</v>
      </c>
      <c r="B31" s="36">
        <v>162.289</v>
      </c>
      <c r="C31" s="36">
        <f>183.574+47.842+24.676</f>
        <v>256.092</v>
      </c>
      <c r="D31" s="36">
        <v>21.756</v>
      </c>
      <c r="E31" s="36">
        <v>1759.812</v>
      </c>
      <c r="F31" s="36">
        <f>25.153+119.377+144.173</f>
        <v>288.703</v>
      </c>
      <c r="G31" s="36">
        <v>123.168</v>
      </c>
      <c r="H31" s="36">
        <v>5392.552</v>
      </c>
      <c r="I31" s="36">
        <v>614.024</v>
      </c>
      <c r="J31" s="36">
        <f t="shared" si="9"/>
        <v>8618.395999999999</v>
      </c>
    </row>
    <row r="32" spans="1:10" ht="11.25">
      <c r="A32" s="4" t="s">
        <v>14</v>
      </c>
      <c r="B32" s="36">
        <v>140.929</v>
      </c>
      <c r="C32" s="36">
        <f>174.674+63.272+22.714</f>
        <v>260.65999999999997</v>
      </c>
      <c r="D32" s="36">
        <v>18.252</v>
      </c>
      <c r="E32" s="36">
        <v>1860.893</v>
      </c>
      <c r="F32" s="36">
        <f>19.835+124.17+151.024</f>
        <v>295.029</v>
      </c>
      <c r="G32" s="36">
        <v>145.021</v>
      </c>
      <c r="H32" s="36">
        <v>5373.72</v>
      </c>
      <c r="I32" s="36">
        <v>641.222</v>
      </c>
      <c r="J32" s="36">
        <f t="shared" si="9"/>
        <v>8735.726</v>
      </c>
    </row>
    <row r="33" spans="1:10" ht="11.25">
      <c r="A33" s="4" t="s">
        <v>15</v>
      </c>
      <c r="B33" s="36">
        <v>122.674</v>
      </c>
      <c r="C33" s="36">
        <f>164.01+37.983+28.67</f>
        <v>230.663</v>
      </c>
      <c r="D33" s="36">
        <v>15.677</v>
      </c>
      <c r="E33" s="36">
        <v>1861.73</v>
      </c>
      <c r="F33" s="36">
        <f>19.537+129.68+156.783</f>
        <v>306</v>
      </c>
      <c r="G33" s="36">
        <v>186.285</v>
      </c>
      <c r="H33" s="36">
        <v>5394.59</v>
      </c>
      <c r="I33" s="36">
        <v>636.403</v>
      </c>
      <c r="J33" s="36">
        <f t="shared" si="9"/>
        <v>8754.022</v>
      </c>
    </row>
    <row r="34" spans="1:10" ht="11.25">
      <c r="A34" s="4" t="s">
        <v>16</v>
      </c>
      <c r="B34" s="36">
        <v>123.434</v>
      </c>
      <c r="C34" s="36">
        <f>112.265+46.668+29.672</f>
        <v>188.605</v>
      </c>
      <c r="D34" s="36">
        <v>18.607</v>
      </c>
      <c r="E34" s="36">
        <v>2033.267</v>
      </c>
      <c r="F34" s="36">
        <f>16.793+120.481+152.2</f>
        <v>289.474</v>
      </c>
      <c r="G34" s="36">
        <v>144.928</v>
      </c>
      <c r="H34" s="36">
        <v>5549.08</v>
      </c>
      <c r="I34" s="36">
        <v>628.459</v>
      </c>
      <c r="J34" s="36">
        <f t="shared" si="9"/>
        <v>8975.854000000001</v>
      </c>
    </row>
    <row r="35" spans="1:10" ht="11.25">
      <c r="A35" s="11" t="s">
        <v>65</v>
      </c>
      <c r="B35" s="36">
        <v>132.648</v>
      </c>
      <c r="C35" s="36">
        <v>277.947</v>
      </c>
      <c r="D35" s="36">
        <v>15.756</v>
      </c>
      <c r="E35" s="36">
        <v>1867.712</v>
      </c>
      <c r="F35" s="36">
        <f>19.221+124.173+155.215</f>
        <v>298.60900000000004</v>
      </c>
      <c r="G35" s="36">
        <v>151.312</v>
      </c>
      <c r="H35" s="36">
        <v>5367.604</v>
      </c>
      <c r="I35" s="36">
        <v>613.707</v>
      </c>
      <c r="J35" s="36">
        <f t="shared" si="9"/>
        <v>8725.295</v>
      </c>
    </row>
    <row r="36" spans="1:10" ht="11.25">
      <c r="A36" s="4" t="s">
        <v>14</v>
      </c>
      <c r="B36" s="36">
        <v>179.965</v>
      </c>
      <c r="C36" s="36">
        <v>333.509</v>
      </c>
      <c r="D36" s="36">
        <v>19.597</v>
      </c>
      <c r="E36" s="36">
        <v>2057.722</v>
      </c>
      <c r="F36" s="36">
        <f>20.72+137.885+162.784</f>
        <v>321.389</v>
      </c>
      <c r="G36" s="36">
        <v>174.67</v>
      </c>
      <c r="H36" s="36">
        <v>5372.176</v>
      </c>
      <c r="I36" s="36">
        <v>649.701</v>
      </c>
      <c r="J36" s="36">
        <f t="shared" si="9"/>
        <v>9108.729</v>
      </c>
    </row>
    <row r="37" spans="1:10" ht="11.25">
      <c r="A37" s="4" t="s">
        <v>15</v>
      </c>
      <c r="B37" s="36">
        <v>155.398</v>
      </c>
      <c r="C37" s="36">
        <v>205.655</v>
      </c>
      <c r="D37" s="36">
        <v>16.442</v>
      </c>
      <c r="E37" s="36">
        <v>1943.442</v>
      </c>
      <c r="F37" s="36">
        <f>12.535+128.352+154.934</f>
        <v>295.821</v>
      </c>
      <c r="G37" s="36">
        <v>156.211</v>
      </c>
      <c r="H37" s="36">
        <v>5425.146</v>
      </c>
      <c r="I37" s="36">
        <v>615.414</v>
      </c>
      <c r="J37" s="36">
        <f t="shared" si="9"/>
        <v>8813.529</v>
      </c>
    </row>
    <row r="38" spans="1:10" ht="11.25">
      <c r="A38" s="4" t="s">
        <v>16</v>
      </c>
      <c r="B38" s="36">
        <v>195.498</v>
      </c>
      <c r="C38" s="36">
        <v>209.657</v>
      </c>
      <c r="D38" s="36">
        <v>18.013</v>
      </c>
      <c r="E38" s="36">
        <v>2031.745</v>
      </c>
      <c r="F38" s="36">
        <f>12.675+114.474+150.547</f>
        <v>277.696</v>
      </c>
      <c r="G38" s="36">
        <v>171.849</v>
      </c>
      <c r="H38" s="36">
        <v>5659.741</v>
      </c>
      <c r="I38" s="36">
        <v>604.892</v>
      </c>
      <c r="J38" s="36">
        <f t="shared" si="9"/>
        <v>9169.091</v>
      </c>
    </row>
    <row r="39" spans="1:10" ht="11.25">
      <c r="A39" s="11" t="s">
        <v>68</v>
      </c>
      <c r="B39" s="36">
        <v>144.092</v>
      </c>
      <c r="C39" s="36">
        <v>197.131</v>
      </c>
      <c r="D39" s="36">
        <v>22.117</v>
      </c>
      <c r="E39" s="36">
        <v>2174.514</v>
      </c>
      <c r="F39" s="36">
        <f>13.584+113.345+151.26</f>
        <v>278.18899999999996</v>
      </c>
      <c r="G39" s="36">
        <v>165.706</v>
      </c>
      <c r="H39" s="36">
        <v>5720.949</v>
      </c>
      <c r="I39" s="36">
        <v>628.252</v>
      </c>
      <c r="J39" s="36">
        <f t="shared" si="9"/>
        <v>9330.95</v>
      </c>
    </row>
    <row r="40" spans="1:10" ht="11.25">
      <c r="A40" s="4" t="s">
        <v>14</v>
      </c>
      <c r="B40" s="36">
        <v>194.957</v>
      </c>
      <c r="C40" s="36">
        <v>200.727</v>
      </c>
      <c r="D40" s="36">
        <v>20.115</v>
      </c>
      <c r="E40" s="36">
        <v>2076.337</v>
      </c>
      <c r="F40" s="36">
        <f>16.171+116.654+150.415</f>
        <v>283.24</v>
      </c>
      <c r="G40" s="36">
        <v>168.234</v>
      </c>
      <c r="H40" s="36">
        <v>5763.19</v>
      </c>
      <c r="I40" s="36">
        <v>641.556</v>
      </c>
      <c r="J40" s="36">
        <f t="shared" si="9"/>
        <v>9348.356</v>
      </c>
    </row>
    <row r="41" spans="1:10" ht="11.25">
      <c r="A41" s="4" t="s">
        <v>15</v>
      </c>
      <c r="B41" s="36">
        <v>151.1</v>
      </c>
      <c r="C41" s="36">
        <v>205.016</v>
      </c>
      <c r="D41" s="36">
        <v>17.559</v>
      </c>
      <c r="E41" s="36">
        <v>2035.839</v>
      </c>
      <c r="F41" s="36">
        <f>14.885+117.544+145.146</f>
        <v>277.575</v>
      </c>
      <c r="G41" s="36">
        <v>154.453</v>
      </c>
      <c r="H41" s="36">
        <v>6038.016</v>
      </c>
      <c r="I41" s="36">
        <v>646.557</v>
      </c>
      <c r="J41" s="36">
        <f t="shared" si="9"/>
        <v>9526.115</v>
      </c>
    </row>
    <row r="42" spans="1:10" ht="11.25">
      <c r="A42" s="4" t="s">
        <v>16</v>
      </c>
      <c r="B42" s="36">
        <v>186.301</v>
      </c>
      <c r="C42" s="36">
        <v>185.88</v>
      </c>
      <c r="D42" s="36">
        <v>21.158</v>
      </c>
      <c r="E42" s="36">
        <v>1909.488</v>
      </c>
      <c r="F42" s="36">
        <f>11.888+108.126+145.847</f>
        <v>265.861</v>
      </c>
      <c r="G42" s="36">
        <v>198.709</v>
      </c>
      <c r="H42" s="36">
        <v>7204.538</v>
      </c>
      <c r="I42" s="36">
        <v>708.182</v>
      </c>
      <c r="J42" s="36">
        <f t="shared" si="9"/>
        <v>10680.117</v>
      </c>
    </row>
    <row r="43" spans="1:10" ht="11.25">
      <c r="A43" s="11" t="s">
        <v>70</v>
      </c>
      <c r="B43" s="36">
        <v>148.458</v>
      </c>
      <c r="C43" s="36">
        <v>182.236</v>
      </c>
      <c r="D43" s="36">
        <v>20.266</v>
      </c>
      <c r="E43" s="36">
        <v>1874.32</v>
      </c>
      <c r="F43" s="36">
        <f>10.322+107.571+144.889</f>
        <v>262.78200000000004</v>
      </c>
      <c r="G43" s="36">
        <v>154.453</v>
      </c>
      <c r="H43" s="36">
        <v>7480.643</v>
      </c>
      <c r="I43" s="36">
        <v>751.483</v>
      </c>
      <c r="J43" s="36">
        <f t="shared" si="9"/>
        <v>10874.641</v>
      </c>
    </row>
    <row r="44" spans="1:10" ht="11.25">
      <c r="A44" s="4" t="s">
        <v>14</v>
      </c>
      <c r="B44" s="36">
        <v>188.089</v>
      </c>
      <c r="C44" s="36">
        <v>234.193</v>
      </c>
      <c r="D44" s="36">
        <v>23.529</v>
      </c>
      <c r="E44" s="36">
        <v>2141.212</v>
      </c>
      <c r="F44" s="36">
        <f>7.749+116.043+159.248</f>
        <v>283.03999999999996</v>
      </c>
      <c r="G44" s="36">
        <v>156.845</v>
      </c>
      <c r="H44" s="36">
        <v>7421.25</v>
      </c>
      <c r="I44" s="36">
        <v>769.823</v>
      </c>
      <c r="J44" s="36">
        <f t="shared" si="9"/>
        <v>11217.981</v>
      </c>
    </row>
    <row r="45" spans="1:10" ht="11.25">
      <c r="A45" s="4" t="s">
        <v>15</v>
      </c>
      <c r="B45" s="36">
        <v>161.126</v>
      </c>
      <c r="C45" s="36">
        <v>412.269</v>
      </c>
      <c r="D45" s="36">
        <v>24.667</v>
      </c>
      <c r="E45" s="36">
        <v>2226.508</v>
      </c>
      <c r="F45" s="36">
        <f>12.316+108.126+151.238</f>
        <v>271.68</v>
      </c>
      <c r="G45" s="36">
        <v>160.496</v>
      </c>
      <c r="H45" s="36">
        <v>7711.309</v>
      </c>
      <c r="I45" s="36">
        <v>735.814</v>
      </c>
      <c r="J45" s="36">
        <f t="shared" si="9"/>
        <v>11703.869</v>
      </c>
    </row>
    <row r="46" spans="1:10" ht="11.25">
      <c r="A46" s="4" t="s">
        <v>16</v>
      </c>
      <c r="B46" s="36">
        <v>184.952</v>
      </c>
      <c r="C46" s="36">
        <v>247.341</v>
      </c>
      <c r="D46" s="36">
        <v>17.183</v>
      </c>
      <c r="E46" s="36">
        <v>2253.024</v>
      </c>
      <c r="F46" s="36">
        <f>19.734+104.583+148.239</f>
        <v>272.55600000000004</v>
      </c>
      <c r="G46" s="36">
        <v>164.587</v>
      </c>
      <c r="H46" s="36">
        <v>8331.633</v>
      </c>
      <c r="I46" s="36">
        <v>754.11</v>
      </c>
      <c r="J46" s="36">
        <f t="shared" si="9"/>
        <v>12225.386</v>
      </c>
    </row>
    <row r="47" spans="1:10" ht="11.25">
      <c r="A47" s="11" t="s">
        <v>73</v>
      </c>
      <c r="B47" s="36">
        <v>133.602</v>
      </c>
      <c r="C47" s="36">
        <v>245.318</v>
      </c>
      <c r="D47" s="36">
        <v>15.755</v>
      </c>
      <c r="E47" s="36">
        <v>2165.435</v>
      </c>
      <c r="F47" s="36">
        <f>11.214+98.968+144.153</f>
        <v>254.33499999999998</v>
      </c>
      <c r="G47" s="36">
        <v>163.604</v>
      </c>
      <c r="H47" s="36">
        <v>7648.796</v>
      </c>
      <c r="I47" s="36">
        <v>722.92</v>
      </c>
      <c r="J47" s="36">
        <f t="shared" si="9"/>
        <v>11349.765000000001</v>
      </c>
    </row>
    <row r="48" spans="1:10" ht="11.25">
      <c r="A48" s="4" t="s">
        <v>14</v>
      </c>
      <c r="B48" s="36">
        <v>188.589</v>
      </c>
      <c r="C48" s="36">
        <v>386.416</v>
      </c>
      <c r="D48" s="36">
        <v>11.007</v>
      </c>
      <c r="E48" s="36">
        <v>2290.62</v>
      </c>
      <c r="F48" s="36">
        <f>18.079+112.313+151.794</f>
        <v>282.18600000000004</v>
      </c>
      <c r="G48" s="36">
        <v>165.798</v>
      </c>
      <c r="H48" s="36">
        <v>7729.52</v>
      </c>
      <c r="I48" s="36">
        <v>755.445</v>
      </c>
      <c r="J48" s="36">
        <f t="shared" si="9"/>
        <v>11809.581</v>
      </c>
    </row>
    <row r="49" spans="1:10" ht="11.25">
      <c r="A49" s="4" t="s">
        <v>15</v>
      </c>
      <c r="B49" s="36">
        <v>160.737</v>
      </c>
      <c r="C49" s="36">
        <v>391.38</v>
      </c>
      <c r="D49" s="36">
        <v>19.431</v>
      </c>
      <c r="E49" s="36">
        <v>2100.419</v>
      </c>
      <c r="F49" s="36">
        <f>16.384+98.829+146.237</f>
        <v>261.45</v>
      </c>
      <c r="G49" s="36">
        <v>182.777</v>
      </c>
      <c r="H49" s="36">
        <v>7611.759</v>
      </c>
      <c r="I49" s="36">
        <v>712.723</v>
      </c>
      <c r="J49" s="36">
        <f t="shared" si="9"/>
        <v>11440.676</v>
      </c>
    </row>
    <row r="50" spans="1:10" ht="11.25">
      <c r="A50" s="4" t="s">
        <v>16</v>
      </c>
      <c r="B50" s="36">
        <v>188.829</v>
      </c>
      <c r="C50" s="36">
        <v>330.559</v>
      </c>
      <c r="D50" s="36">
        <v>14.091</v>
      </c>
      <c r="E50" s="36">
        <v>2302.024</v>
      </c>
      <c r="F50" s="36">
        <f>8.759+105.145+141.413</f>
        <v>255.317</v>
      </c>
      <c r="G50" s="36">
        <v>174.168</v>
      </c>
      <c r="H50" s="36">
        <v>7640.392</v>
      </c>
      <c r="I50" s="36">
        <v>718.766</v>
      </c>
      <c r="J50" s="36">
        <f t="shared" si="9"/>
        <v>11624.145999999999</v>
      </c>
    </row>
    <row r="51" spans="2:10" ht="11.25">
      <c r="B51" s="12"/>
      <c r="C51" s="12"/>
      <c r="D51" s="12"/>
      <c r="E51" s="36"/>
      <c r="F51" s="12"/>
      <c r="G51" s="12"/>
      <c r="H51" s="12"/>
      <c r="I51" s="36"/>
      <c r="J51" s="12"/>
    </row>
    <row r="52" spans="5:9" ht="11.25">
      <c r="E52" s="12"/>
      <c r="I52" s="12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showGridLines="0" zoomScalePageLayoutView="0" workbookViewId="0" topLeftCell="A1">
      <selection activeCell="C20" sqref="C20"/>
    </sheetView>
  </sheetViews>
  <sheetFormatPr defaultColWidth="9.140625" defaultRowHeight="12.75"/>
  <cols>
    <col min="1" max="1" width="13.421875" style="4" customWidth="1"/>
    <col min="2" max="2" width="15.00390625" style="4" customWidth="1"/>
    <col min="3" max="3" width="14.421875" style="4" customWidth="1"/>
    <col min="4" max="4" width="18.140625" style="4" customWidth="1"/>
    <col min="5" max="5" width="9.57421875" style="4" customWidth="1"/>
    <col min="6" max="6" width="14.00390625" style="4" customWidth="1"/>
    <col min="7" max="7" width="12.57421875" style="4" customWidth="1"/>
    <col min="8" max="8" width="14.7109375" style="4" customWidth="1"/>
    <col min="9" max="9" width="12.28125" style="4" customWidth="1"/>
    <col min="10" max="10" width="9.57421875" style="4" customWidth="1"/>
    <col min="11" max="16384" width="9.140625" style="4" customWidth="1"/>
  </cols>
  <sheetData>
    <row r="1" spans="1:10" ht="11.25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</row>
    <row r="2" spans="1:10" ht="11.25">
      <c r="A2" s="5" t="s">
        <v>17</v>
      </c>
      <c r="B2" s="6"/>
      <c r="C2" s="6"/>
      <c r="D2" s="6"/>
      <c r="E2" s="6"/>
      <c r="F2" s="6"/>
      <c r="G2" s="6"/>
      <c r="H2" s="6"/>
      <c r="I2" s="6"/>
      <c r="J2" s="7"/>
    </row>
    <row r="4" spans="1:10" ht="59.25" customHeight="1">
      <c r="A4" s="8" t="s">
        <v>2</v>
      </c>
      <c r="B4" s="8" t="s">
        <v>3</v>
      </c>
      <c r="C4" s="8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</row>
    <row r="5" spans="1:10" ht="11.25">
      <c r="A5" s="9" t="s">
        <v>18</v>
      </c>
      <c r="B5" s="12">
        <f>SUM(B10:B12)/3</f>
        <v>96.66666666666667</v>
      </c>
      <c r="C5" s="12">
        <f aca="true" t="shared" si="0" ref="C5:H5">SUM(C10:C12)/3</f>
        <v>126.66666666666667</v>
      </c>
      <c r="D5" s="12">
        <f t="shared" si="0"/>
        <v>11</v>
      </c>
      <c r="E5" s="12">
        <f t="shared" si="0"/>
        <v>1650</v>
      </c>
      <c r="F5" s="12">
        <f t="shared" si="0"/>
        <v>364</v>
      </c>
      <c r="G5" s="12">
        <f t="shared" si="0"/>
        <v>125.66666666666667</v>
      </c>
      <c r="H5" s="12">
        <f t="shared" si="0"/>
        <v>7457.666666666667</v>
      </c>
      <c r="I5" s="12">
        <f>SUM(I10:I12)/3</f>
        <v>969.3333333333334</v>
      </c>
      <c r="J5" s="12">
        <f>SUM(J10:J12)/3</f>
        <v>10801</v>
      </c>
    </row>
    <row r="6" spans="1:10" ht="11.25">
      <c r="A6" s="9" t="s">
        <v>19</v>
      </c>
      <c r="B6" s="12">
        <f aca="true" t="shared" si="1" ref="B6:J6">SUM(B13:B16)/4</f>
        <v>121.25</v>
      </c>
      <c r="C6" s="12">
        <f t="shared" si="1"/>
        <v>153.75</v>
      </c>
      <c r="D6" s="12">
        <f t="shared" si="1"/>
        <v>9.25</v>
      </c>
      <c r="E6" s="12">
        <f t="shared" si="1"/>
        <v>2005.75</v>
      </c>
      <c r="F6" s="12">
        <f t="shared" si="1"/>
        <v>416.75</v>
      </c>
      <c r="G6" s="12">
        <f t="shared" si="1"/>
        <v>144</v>
      </c>
      <c r="H6" s="12">
        <f t="shared" si="1"/>
        <v>7471.75</v>
      </c>
      <c r="I6" s="12">
        <f t="shared" si="1"/>
        <v>941</v>
      </c>
      <c r="J6" s="12">
        <f t="shared" si="1"/>
        <v>11263.5</v>
      </c>
    </row>
    <row r="7" spans="1:10" ht="11.25">
      <c r="A7" s="9" t="s">
        <v>20</v>
      </c>
      <c r="B7" s="12">
        <f>SUM(B17:B20)/4</f>
        <v>104.25</v>
      </c>
      <c r="C7" s="12">
        <f aca="true" t="shared" si="2" ref="C7:J7">SUM(C17:C20)/4</f>
        <v>117.75</v>
      </c>
      <c r="D7" s="12">
        <f t="shared" si="2"/>
        <v>23.25</v>
      </c>
      <c r="E7" s="12">
        <f t="shared" si="2"/>
        <v>2000</v>
      </c>
      <c r="F7" s="12">
        <f t="shared" si="2"/>
        <v>459.5</v>
      </c>
      <c r="G7" s="12">
        <f t="shared" si="2"/>
        <v>236</v>
      </c>
      <c r="H7" s="12">
        <f t="shared" si="2"/>
        <v>7213</v>
      </c>
      <c r="I7" s="12">
        <f t="shared" si="2"/>
        <v>903.5</v>
      </c>
      <c r="J7" s="12">
        <f t="shared" si="2"/>
        <v>11057.25</v>
      </c>
    </row>
    <row r="8" spans="1:10" ht="11.25">
      <c r="A8" s="9" t="s">
        <v>21</v>
      </c>
      <c r="B8" s="12">
        <f>SUM(B21:B24)/4</f>
        <v>116.75</v>
      </c>
      <c r="C8" s="12">
        <f aca="true" t="shared" si="3" ref="C8:J8">SUM(C21:C24)/4</f>
        <v>174.25</v>
      </c>
      <c r="D8" s="12">
        <f t="shared" si="3"/>
        <v>23</v>
      </c>
      <c r="E8" s="12">
        <f t="shared" si="3"/>
        <v>2261.5</v>
      </c>
      <c r="F8" s="12">
        <f t="shared" si="3"/>
        <v>480.75</v>
      </c>
      <c r="G8" s="12">
        <f t="shared" si="3"/>
        <v>170.75</v>
      </c>
      <c r="H8" s="12">
        <f t="shared" si="3"/>
        <v>7680.25</v>
      </c>
      <c r="I8" s="12">
        <f t="shared" si="3"/>
        <v>926</v>
      </c>
      <c r="J8" s="12">
        <f t="shared" si="3"/>
        <v>11833.25</v>
      </c>
    </row>
    <row r="9" spans="1:10" ht="11.25">
      <c r="A9" s="10"/>
      <c r="B9" s="12"/>
      <c r="C9" s="12"/>
      <c r="D9" s="12"/>
      <c r="E9" s="12"/>
      <c r="F9" s="12"/>
      <c r="G9" s="12"/>
      <c r="H9" s="12"/>
      <c r="I9" s="12"/>
      <c r="J9" s="12"/>
    </row>
    <row r="10" spans="1:10" ht="11.25">
      <c r="A10" s="11" t="s">
        <v>22</v>
      </c>
      <c r="B10" s="12">
        <v>72</v>
      </c>
      <c r="C10" s="12">
        <v>113</v>
      </c>
      <c r="D10" s="12">
        <v>12</v>
      </c>
      <c r="E10" s="12">
        <v>1632</v>
      </c>
      <c r="F10" s="12">
        <v>366</v>
      </c>
      <c r="G10" s="12">
        <v>121</v>
      </c>
      <c r="H10" s="12">
        <v>7797</v>
      </c>
      <c r="I10" s="12">
        <v>1000</v>
      </c>
      <c r="J10" s="12">
        <f>SUM(B10:I10)</f>
        <v>11113</v>
      </c>
    </row>
    <row r="11" spans="1:10" ht="11.25">
      <c r="A11" s="11" t="s">
        <v>23</v>
      </c>
      <c r="B11" s="12">
        <v>95</v>
      </c>
      <c r="C11" s="12">
        <v>86</v>
      </c>
      <c r="D11" s="12">
        <v>10</v>
      </c>
      <c r="E11" s="12">
        <v>1524</v>
      </c>
      <c r="F11" s="12">
        <v>357</v>
      </c>
      <c r="G11" s="12">
        <v>124</v>
      </c>
      <c r="H11" s="12">
        <v>6919</v>
      </c>
      <c r="I11" s="12">
        <v>895</v>
      </c>
      <c r="J11" s="12">
        <f aca="true" t="shared" si="4" ref="J11:J24">SUM(B11:I11)</f>
        <v>10010</v>
      </c>
    </row>
    <row r="12" spans="1:10" ht="11.25">
      <c r="A12" s="11" t="s">
        <v>24</v>
      </c>
      <c r="B12" s="12">
        <v>123</v>
      </c>
      <c r="C12" s="12">
        <v>181</v>
      </c>
      <c r="D12" s="12">
        <v>11</v>
      </c>
      <c r="E12" s="12">
        <v>1794</v>
      </c>
      <c r="F12" s="12">
        <v>369</v>
      </c>
      <c r="G12" s="12">
        <v>132</v>
      </c>
      <c r="H12" s="12">
        <v>7657</v>
      </c>
      <c r="I12" s="12">
        <v>1013</v>
      </c>
      <c r="J12" s="12">
        <f t="shared" si="4"/>
        <v>11280</v>
      </c>
    </row>
    <row r="13" spans="1:10" ht="11.25">
      <c r="A13" s="11" t="s">
        <v>25</v>
      </c>
      <c r="B13" s="12">
        <v>124</v>
      </c>
      <c r="C13" s="12">
        <v>225</v>
      </c>
      <c r="D13" s="12">
        <v>12</v>
      </c>
      <c r="E13" s="12">
        <v>1594</v>
      </c>
      <c r="F13" s="12">
        <v>381</v>
      </c>
      <c r="G13" s="12">
        <v>137</v>
      </c>
      <c r="H13" s="12">
        <v>7519</v>
      </c>
      <c r="I13" s="12">
        <v>950</v>
      </c>
      <c r="J13" s="12">
        <f t="shared" si="4"/>
        <v>10942</v>
      </c>
    </row>
    <row r="14" spans="1:10" ht="11.25">
      <c r="A14" s="4" t="s">
        <v>14</v>
      </c>
      <c r="B14" s="12">
        <v>118</v>
      </c>
      <c r="C14" s="12">
        <v>141</v>
      </c>
      <c r="D14" s="12">
        <v>9</v>
      </c>
      <c r="E14" s="12">
        <v>2721</v>
      </c>
      <c r="F14" s="12">
        <v>445</v>
      </c>
      <c r="G14" s="12">
        <v>142</v>
      </c>
      <c r="H14" s="12">
        <v>7424</v>
      </c>
      <c r="I14" s="12">
        <v>959</v>
      </c>
      <c r="J14" s="12">
        <f t="shared" si="4"/>
        <v>11959</v>
      </c>
    </row>
    <row r="15" spans="1:10" ht="11.25">
      <c r="A15" s="4" t="s">
        <v>15</v>
      </c>
      <c r="B15" s="4">
        <v>123</v>
      </c>
      <c r="C15" s="4">
        <f>88+12+2</f>
        <v>102</v>
      </c>
      <c r="D15" s="4">
        <v>7</v>
      </c>
      <c r="E15" s="12">
        <v>1751</v>
      </c>
      <c r="F15" s="4">
        <f>33+193+195</f>
        <v>421</v>
      </c>
      <c r="G15" s="4">
        <v>148</v>
      </c>
      <c r="H15" s="12">
        <v>7411</v>
      </c>
      <c r="I15" s="4">
        <v>929</v>
      </c>
      <c r="J15" s="12">
        <f t="shared" si="4"/>
        <v>10892</v>
      </c>
    </row>
    <row r="16" spans="1:10" ht="11.25">
      <c r="A16" s="4" t="s">
        <v>16</v>
      </c>
      <c r="B16" s="4">
        <v>120</v>
      </c>
      <c r="C16" s="4">
        <f>139+4+4</f>
        <v>147</v>
      </c>
      <c r="D16" s="4">
        <v>9</v>
      </c>
      <c r="E16" s="12">
        <v>1957</v>
      </c>
      <c r="F16" s="4">
        <f>42+204+174</f>
        <v>420</v>
      </c>
      <c r="G16" s="4">
        <v>149</v>
      </c>
      <c r="H16" s="12">
        <v>7533</v>
      </c>
      <c r="I16" s="4">
        <v>926</v>
      </c>
      <c r="J16" s="12">
        <f t="shared" si="4"/>
        <v>11261</v>
      </c>
    </row>
    <row r="17" spans="1:10" ht="11.25">
      <c r="A17" s="11" t="s">
        <v>26</v>
      </c>
      <c r="B17" s="4">
        <v>113</v>
      </c>
      <c r="C17" s="4">
        <f>102+3+4</f>
        <v>109</v>
      </c>
      <c r="D17" s="4">
        <v>8</v>
      </c>
      <c r="E17" s="12">
        <v>1809</v>
      </c>
      <c r="F17" s="4">
        <f>36+195+194</f>
        <v>425</v>
      </c>
      <c r="G17" s="4">
        <v>154</v>
      </c>
      <c r="H17" s="12">
        <v>7452</v>
      </c>
      <c r="I17" s="4">
        <v>932</v>
      </c>
      <c r="J17" s="12">
        <f t="shared" si="4"/>
        <v>11002</v>
      </c>
    </row>
    <row r="18" spans="1:10" ht="11.25">
      <c r="A18" s="4" t="s">
        <v>14</v>
      </c>
      <c r="B18" s="4">
        <v>112</v>
      </c>
      <c r="C18" s="4">
        <f>121+4+5</f>
        <v>130</v>
      </c>
      <c r="D18" s="4">
        <v>37</v>
      </c>
      <c r="E18" s="12">
        <v>2093</v>
      </c>
      <c r="F18" s="4">
        <f>35+205+219</f>
        <v>459</v>
      </c>
      <c r="G18" s="4">
        <v>324</v>
      </c>
      <c r="H18" s="12">
        <v>7098</v>
      </c>
      <c r="I18" s="4">
        <v>921</v>
      </c>
      <c r="J18" s="12">
        <f t="shared" si="4"/>
        <v>11174</v>
      </c>
    </row>
    <row r="19" spans="1:10" ht="11.25">
      <c r="A19" s="4" t="s">
        <v>15</v>
      </c>
      <c r="B19" s="12">
        <v>95</v>
      </c>
      <c r="C19" s="12">
        <v>113</v>
      </c>
      <c r="D19" s="12">
        <v>29</v>
      </c>
      <c r="E19" s="12">
        <v>1900</v>
      </c>
      <c r="F19" s="12">
        <v>497</v>
      </c>
      <c r="G19" s="12">
        <v>301</v>
      </c>
      <c r="H19" s="12">
        <v>6984</v>
      </c>
      <c r="I19" s="12">
        <v>887</v>
      </c>
      <c r="J19" s="12">
        <f t="shared" si="4"/>
        <v>10806</v>
      </c>
    </row>
    <row r="20" spans="1:10" ht="11.25">
      <c r="A20" s="4" t="s">
        <v>16</v>
      </c>
      <c r="B20" s="12">
        <v>97</v>
      </c>
      <c r="C20" s="12">
        <v>119</v>
      </c>
      <c r="D20" s="12">
        <v>19</v>
      </c>
      <c r="E20" s="12">
        <v>2198</v>
      </c>
      <c r="F20" s="12">
        <v>457</v>
      </c>
      <c r="G20" s="12">
        <v>165</v>
      </c>
      <c r="H20" s="12">
        <v>7318</v>
      </c>
      <c r="I20" s="12">
        <v>874</v>
      </c>
      <c r="J20" s="12">
        <f t="shared" si="4"/>
        <v>11247</v>
      </c>
    </row>
    <row r="21" spans="1:10" ht="11.25">
      <c r="A21" s="11" t="s">
        <v>27</v>
      </c>
      <c r="B21" s="12">
        <v>96</v>
      </c>
      <c r="C21" s="12">
        <v>119</v>
      </c>
      <c r="D21" s="12">
        <v>29</v>
      </c>
      <c r="E21" s="12">
        <v>2014</v>
      </c>
      <c r="F21" s="12">
        <v>460</v>
      </c>
      <c r="G21" s="12">
        <v>164</v>
      </c>
      <c r="H21" s="12">
        <v>7261</v>
      </c>
      <c r="I21" s="12">
        <v>852</v>
      </c>
      <c r="J21" s="12">
        <f t="shared" si="4"/>
        <v>10995</v>
      </c>
    </row>
    <row r="22" spans="1:10" ht="11.25">
      <c r="A22" s="4" t="s">
        <v>14</v>
      </c>
      <c r="B22" s="12">
        <v>101</v>
      </c>
      <c r="C22" s="12">
        <v>211</v>
      </c>
      <c r="D22" s="12">
        <v>17</v>
      </c>
      <c r="E22" s="12">
        <v>2402</v>
      </c>
      <c r="F22" s="12">
        <v>493</v>
      </c>
      <c r="G22" s="12">
        <v>172</v>
      </c>
      <c r="H22" s="12">
        <v>7455</v>
      </c>
      <c r="I22" s="12">
        <v>895</v>
      </c>
      <c r="J22" s="12">
        <f t="shared" si="4"/>
        <v>11746</v>
      </c>
    </row>
    <row r="23" spans="1:10" ht="11.25">
      <c r="A23" s="4" t="s">
        <v>15</v>
      </c>
      <c r="B23" s="12">
        <v>125</v>
      </c>
      <c r="C23" s="12">
        <v>169</v>
      </c>
      <c r="D23" s="12">
        <v>16</v>
      </c>
      <c r="E23" s="12">
        <v>2067</v>
      </c>
      <c r="F23" s="12">
        <v>476</v>
      </c>
      <c r="G23" s="12">
        <v>174</v>
      </c>
      <c r="H23" s="12">
        <v>7774</v>
      </c>
      <c r="I23" s="12">
        <v>961</v>
      </c>
      <c r="J23" s="12">
        <f t="shared" si="4"/>
        <v>11762</v>
      </c>
    </row>
    <row r="24" spans="1:10" ht="11.25">
      <c r="A24" s="4" t="s">
        <v>16</v>
      </c>
      <c r="B24" s="12">
        <v>145</v>
      </c>
      <c r="C24" s="12">
        <v>198</v>
      </c>
      <c r="D24" s="12">
        <v>30</v>
      </c>
      <c r="E24" s="12">
        <v>2563</v>
      </c>
      <c r="F24" s="12">
        <v>494</v>
      </c>
      <c r="G24" s="12">
        <v>173</v>
      </c>
      <c r="H24" s="12">
        <v>8231</v>
      </c>
      <c r="I24" s="12">
        <v>996</v>
      </c>
      <c r="J24" s="12">
        <f t="shared" si="4"/>
        <v>12830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99" r:id="rId2"/>
  <headerFooter alignWithMargins="0">
    <oddFooter>&amp;CDepositi1.xls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showGridLines="0" zoomScale="75" zoomScaleNormal="75" zoomScalePageLayoutView="0" workbookViewId="0" topLeftCell="A1">
      <selection activeCell="L46" sqref="L46"/>
    </sheetView>
  </sheetViews>
  <sheetFormatPr defaultColWidth="9.140625" defaultRowHeight="12.75"/>
  <cols>
    <col min="1" max="1" width="12.7109375" style="0" customWidth="1"/>
    <col min="2" max="2" width="16.00390625" style="0" customWidth="1"/>
    <col min="3" max="3" width="15.7109375" style="0" customWidth="1"/>
    <col min="4" max="4" width="17.421875" style="0" customWidth="1"/>
    <col min="6" max="6" width="13.00390625" style="0" customWidth="1"/>
    <col min="7" max="7" width="11.57421875" style="0" customWidth="1"/>
    <col min="8" max="8" width="15.00390625" style="0" customWidth="1"/>
    <col min="9" max="9" width="13.421875" style="0" customWidth="1"/>
    <col min="10" max="10" width="13.28125" style="0" customWidth="1"/>
  </cols>
  <sheetData>
    <row r="1" spans="1:10" ht="12.75">
      <c r="A1" s="13" t="s">
        <v>0</v>
      </c>
      <c r="B1" s="14"/>
      <c r="C1" s="14"/>
      <c r="D1" s="14"/>
      <c r="E1" s="14"/>
      <c r="F1" s="14"/>
      <c r="G1" s="14"/>
      <c r="H1" s="14"/>
      <c r="I1" s="14"/>
      <c r="J1" s="15"/>
    </row>
    <row r="2" spans="1:10" ht="12.75">
      <c r="A2" s="16" t="s">
        <v>17</v>
      </c>
      <c r="B2" s="17"/>
      <c r="C2" s="17"/>
      <c r="D2" s="17"/>
      <c r="E2" s="17"/>
      <c r="F2" s="17"/>
      <c r="G2" s="17"/>
      <c r="H2" s="17"/>
      <c r="I2" s="17"/>
      <c r="J2" s="18"/>
    </row>
    <row r="4" spans="1:10" ht="48">
      <c r="A4" s="19" t="s">
        <v>2</v>
      </c>
      <c r="B4" s="19" t="s">
        <v>28</v>
      </c>
      <c r="C4" s="19" t="s">
        <v>29</v>
      </c>
      <c r="D4" s="19" t="s">
        <v>30</v>
      </c>
      <c r="E4" s="19" t="s">
        <v>31</v>
      </c>
      <c r="F4" s="19" t="s">
        <v>32</v>
      </c>
      <c r="G4" s="19" t="s">
        <v>33</v>
      </c>
      <c r="H4" s="19" t="s">
        <v>34</v>
      </c>
      <c r="I4" s="19" t="s">
        <v>35</v>
      </c>
      <c r="J4" s="19" t="s">
        <v>36</v>
      </c>
    </row>
    <row r="5" spans="1:10" s="22" customFormat="1" ht="12.75">
      <c r="A5" s="20" t="s">
        <v>37</v>
      </c>
      <c r="B5" s="21">
        <f aca="true" t="shared" si="0" ref="B5:J5">SUM(B13:B16)/4</f>
        <v>63</v>
      </c>
      <c r="C5" s="21">
        <f t="shared" si="0"/>
        <v>53.5</v>
      </c>
      <c r="D5" s="21">
        <f t="shared" si="0"/>
        <v>35.75</v>
      </c>
      <c r="E5" s="21">
        <f t="shared" si="0"/>
        <v>848.5</v>
      </c>
      <c r="F5" s="21">
        <f t="shared" si="0"/>
        <v>32</v>
      </c>
      <c r="G5" s="21">
        <f t="shared" si="0"/>
        <v>3498.25</v>
      </c>
      <c r="H5" s="21">
        <f t="shared" si="0"/>
        <v>6089.75</v>
      </c>
      <c r="I5" s="21">
        <f t="shared" si="0"/>
        <v>945.25</v>
      </c>
      <c r="J5" s="21">
        <f t="shared" si="0"/>
        <v>11566</v>
      </c>
    </row>
    <row r="6" spans="1:10" s="25" customFormat="1" ht="12.75">
      <c r="A6" s="23" t="s">
        <v>38</v>
      </c>
      <c r="B6" s="24">
        <f aca="true" t="shared" si="1" ref="B6:J6">SUM(B17:B20)/4</f>
        <v>59.25</v>
      </c>
      <c r="C6" s="24">
        <f t="shared" si="1"/>
        <v>99.75</v>
      </c>
      <c r="D6" s="24">
        <f t="shared" si="1"/>
        <v>15.5</v>
      </c>
      <c r="E6" s="24">
        <f t="shared" si="1"/>
        <v>869.75</v>
      </c>
      <c r="F6" s="24">
        <f t="shared" si="1"/>
        <v>35.75</v>
      </c>
      <c r="G6" s="24">
        <f t="shared" si="1"/>
        <v>4009.25</v>
      </c>
      <c r="H6" s="24">
        <f t="shared" si="1"/>
        <v>6397</v>
      </c>
      <c r="I6" s="24">
        <f t="shared" si="1"/>
        <v>955.25</v>
      </c>
      <c r="J6" s="24">
        <f t="shared" si="1"/>
        <v>12441.5</v>
      </c>
    </row>
    <row r="7" spans="1:10" s="25" customFormat="1" ht="12.75">
      <c r="A7" s="23" t="s">
        <v>39</v>
      </c>
      <c r="B7" s="24">
        <f aca="true" t="shared" si="2" ref="B7:J7">SUM(B21:B24)/4</f>
        <v>68.5</v>
      </c>
      <c r="C7" s="24">
        <f t="shared" si="2"/>
        <v>73.5</v>
      </c>
      <c r="D7" s="24">
        <f t="shared" si="2"/>
        <v>26.25</v>
      </c>
      <c r="E7" s="24">
        <f t="shared" si="2"/>
        <v>923.5</v>
      </c>
      <c r="F7" s="24">
        <f t="shared" si="2"/>
        <v>27.25</v>
      </c>
      <c r="G7" s="24">
        <f t="shared" si="2"/>
        <v>4961.5</v>
      </c>
      <c r="H7" s="24">
        <f t="shared" si="2"/>
        <v>6350.25</v>
      </c>
      <c r="I7" s="24">
        <f t="shared" si="2"/>
        <v>917.75</v>
      </c>
      <c r="J7" s="24">
        <f t="shared" si="2"/>
        <v>13348.5</v>
      </c>
    </row>
    <row r="8" spans="1:10" s="25" customFormat="1" ht="12.75">
      <c r="A8" s="23" t="s">
        <v>40</v>
      </c>
      <c r="B8" s="24">
        <f aca="true" t="shared" si="3" ref="B8:J8">SUM(B25:B28)/4</f>
        <v>78.25</v>
      </c>
      <c r="C8" s="24">
        <f t="shared" si="3"/>
        <v>93.5</v>
      </c>
      <c r="D8" s="24">
        <f t="shared" si="3"/>
        <v>17</v>
      </c>
      <c r="E8" s="24">
        <f t="shared" si="3"/>
        <v>1141.25</v>
      </c>
      <c r="F8" s="24">
        <f t="shared" si="3"/>
        <v>38.5</v>
      </c>
      <c r="G8" s="24">
        <f t="shared" si="3"/>
        <v>4789.75</v>
      </c>
      <c r="H8" s="24">
        <f t="shared" si="3"/>
        <v>6871.5</v>
      </c>
      <c r="I8" s="24">
        <f t="shared" si="3"/>
        <v>995.75</v>
      </c>
      <c r="J8" s="24">
        <f t="shared" si="3"/>
        <v>14025.5</v>
      </c>
    </row>
    <row r="9" spans="1:10" s="25" customFormat="1" ht="12.75">
      <c r="A9" s="23" t="s">
        <v>41</v>
      </c>
      <c r="B9" s="24">
        <f>SUM(B29:B32)/4</f>
        <v>127</v>
      </c>
      <c r="C9" s="24">
        <f aca="true" t="shared" si="4" ref="C9:J9">SUM(C29:C32)/4</f>
        <v>123.75</v>
      </c>
      <c r="D9" s="24">
        <f t="shared" si="4"/>
        <v>25.5</v>
      </c>
      <c r="E9" s="24">
        <f t="shared" si="4"/>
        <v>1412.25</v>
      </c>
      <c r="F9" s="24">
        <f t="shared" si="4"/>
        <v>35</v>
      </c>
      <c r="G9" s="24">
        <f t="shared" si="4"/>
        <v>4030.75</v>
      </c>
      <c r="H9" s="24">
        <f t="shared" si="4"/>
        <v>7106.75</v>
      </c>
      <c r="I9" s="24">
        <f t="shared" si="4"/>
        <v>1017.75</v>
      </c>
      <c r="J9" s="24">
        <f t="shared" si="4"/>
        <v>13878.75</v>
      </c>
    </row>
    <row r="10" spans="1:10" s="25" customFormat="1" ht="12.75">
      <c r="A10" s="23" t="s">
        <v>42</v>
      </c>
      <c r="B10" s="24">
        <f>SUM(B33:B36)/4</f>
        <v>83.5</v>
      </c>
      <c r="C10" s="24">
        <f aca="true" t="shared" si="5" ref="C10:J10">SUM(C33:C36)/4</f>
        <v>118.75</v>
      </c>
      <c r="D10" s="24">
        <f t="shared" si="5"/>
        <v>21.25</v>
      </c>
      <c r="E10" s="24">
        <f t="shared" si="5"/>
        <v>1336.75</v>
      </c>
      <c r="F10" s="24">
        <f t="shared" si="5"/>
        <v>32.75</v>
      </c>
      <c r="G10" s="24">
        <f t="shared" si="5"/>
        <v>4441.75</v>
      </c>
      <c r="H10" s="24">
        <f t="shared" si="5"/>
        <v>7496.75</v>
      </c>
      <c r="I10" s="24">
        <f t="shared" si="5"/>
        <v>1261.25</v>
      </c>
      <c r="J10" s="24">
        <f t="shared" si="5"/>
        <v>14792.75</v>
      </c>
    </row>
    <row r="11" spans="1:10" s="25" customFormat="1" ht="12.75">
      <c r="A11" s="23" t="s">
        <v>43</v>
      </c>
      <c r="B11" s="24">
        <f aca="true" t="shared" si="6" ref="B11:J11">SUM(B37:B40)/4</f>
        <v>75</v>
      </c>
      <c r="C11" s="24">
        <f t="shared" si="6"/>
        <v>125.25</v>
      </c>
      <c r="D11" s="24">
        <f t="shared" si="6"/>
        <v>15.25</v>
      </c>
      <c r="E11" s="24">
        <f t="shared" si="6"/>
        <v>1479.25</v>
      </c>
      <c r="F11" s="24">
        <f t="shared" si="6"/>
        <v>35.25</v>
      </c>
      <c r="G11" s="24">
        <f t="shared" si="6"/>
        <v>3536.5</v>
      </c>
      <c r="H11" s="24">
        <f t="shared" si="6"/>
        <v>7432</v>
      </c>
      <c r="I11" s="24">
        <f t="shared" si="6"/>
        <v>1283.75</v>
      </c>
      <c r="J11" s="24">
        <f t="shared" si="6"/>
        <v>13982.25</v>
      </c>
    </row>
    <row r="12" spans="1:10" s="25" customFormat="1" ht="12.75">
      <c r="A12" s="26"/>
      <c r="B12" s="26"/>
      <c r="C12" s="26"/>
      <c r="D12" s="26"/>
      <c r="E12" s="26"/>
      <c r="F12" s="26"/>
      <c r="G12" s="26"/>
      <c r="H12" s="26"/>
      <c r="I12" s="26"/>
      <c r="J12" s="27"/>
    </row>
    <row r="13" spans="1:11" s="22" customFormat="1" ht="12.75">
      <c r="A13" s="28" t="s">
        <v>44</v>
      </c>
      <c r="B13" s="29">
        <v>64</v>
      </c>
      <c r="C13" s="29">
        <v>41</v>
      </c>
      <c r="D13" s="29">
        <v>20</v>
      </c>
      <c r="E13" s="29">
        <v>766</v>
      </c>
      <c r="F13" s="29">
        <v>31</v>
      </c>
      <c r="G13" s="29">
        <v>3202</v>
      </c>
      <c r="H13" s="29">
        <v>5852</v>
      </c>
      <c r="I13" s="29">
        <v>914</v>
      </c>
      <c r="J13" s="29">
        <f aca="true" t="shared" si="7" ref="J13:J28">SUM(B13:I13)</f>
        <v>10890</v>
      </c>
      <c r="K13" s="30"/>
    </row>
    <row r="14" spans="1:10" ht="12.75">
      <c r="A14" s="28" t="s">
        <v>45</v>
      </c>
      <c r="B14" s="29">
        <v>69</v>
      </c>
      <c r="C14" s="29">
        <v>28</v>
      </c>
      <c r="D14" s="29">
        <v>62</v>
      </c>
      <c r="E14" s="29">
        <v>840</v>
      </c>
      <c r="F14" s="29">
        <v>31</v>
      </c>
      <c r="G14" s="29">
        <v>3592</v>
      </c>
      <c r="H14" s="29">
        <v>5772</v>
      </c>
      <c r="I14" s="29">
        <v>868</v>
      </c>
      <c r="J14" s="29">
        <f t="shared" si="7"/>
        <v>11262</v>
      </c>
    </row>
    <row r="15" spans="1:10" ht="12.75">
      <c r="A15" s="28" t="s">
        <v>23</v>
      </c>
      <c r="B15" s="29">
        <v>67</v>
      </c>
      <c r="C15" s="29">
        <v>51</v>
      </c>
      <c r="D15" s="29">
        <v>28</v>
      </c>
      <c r="E15" s="29">
        <v>749</v>
      </c>
      <c r="F15" s="29">
        <v>29</v>
      </c>
      <c r="G15" s="29">
        <v>3548</v>
      </c>
      <c r="H15" s="29">
        <v>5883</v>
      </c>
      <c r="I15" s="29">
        <v>926</v>
      </c>
      <c r="J15" s="29">
        <f t="shared" si="7"/>
        <v>11281</v>
      </c>
    </row>
    <row r="16" spans="1:10" ht="12.75">
      <c r="A16" s="28" t="s">
        <v>24</v>
      </c>
      <c r="B16" s="29">
        <v>52</v>
      </c>
      <c r="C16" s="29">
        <v>94</v>
      </c>
      <c r="D16" s="29">
        <v>33</v>
      </c>
      <c r="E16" s="29">
        <v>1039</v>
      </c>
      <c r="F16" s="29">
        <v>37</v>
      </c>
      <c r="G16" s="29">
        <v>3651</v>
      </c>
      <c r="H16" s="29">
        <v>6852</v>
      </c>
      <c r="I16" s="29">
        <v>1073</v>
      </c>
      <c r="J16" s="29">
        <f t="shared" si="7"/>
        <v>12831</v>
      </c>
    </row>
    <row r="17" spans="1:10" ht="12.75">
      <c r="A17" s="28" t="s">
        <v>46</v>
      </c>
      <c r="B17" s="29">
        <v>65</v>
      </c>
      <c r="C17" s="29">
        <v>133</v>
      </c>
      <c r="D17" s="29">
        <v>9</v>
      </c>
      <c r="E17" s="29">
        <v>759</v>
      </c>
      <c r="F17" s="29">
        <v>45</v>
      </c>
      <c r="G17" s="29">
        <v>3647</v>
      </c>
      <c r="H17" s="29">
        <v>6619</v>
      </c>
      <c r="I17" s="29">
        <v>973</v>
      </c>
      <c r="J17" s="29">
        <f t="shared" si="7"/>
        <v>12250</v>
      </c>
    </row>
    <row r="18" spans="1:10" ht="12.75">
      <c r="A18" s="28" t="s">
        <v>45</v>
      </c>
      <c r="B18" s="29">
        <v>52</v>
      </c>
      <c r="C18" s="29">
        <v>124</v>
      </c>
      <c r="D18" s="29">
        <v>24</v>
      </c>
      <c r="E18" s="29">
        <v>910</v>
      </c>
      <c r="F18" s="29">
        <v>35</v>
      </c>
      <c r="G18" s="29">
        <v>3790</v>
      </c>
      <c r="H18" s="29">
        <v>6683</v>
      </c>
      <c r="I18" s="29">
        <v>941</v>
      </c>
      <c r="J18" s="29">
        <f t="shared" si="7"/>
        <v>12559</v>
      </c>
    </row>
    <row r="19" spans="1:10" ht="12.75">
      <c r="A19" s="28" t="s">
        <v>23</v>
      </c>
      <c r="B19" s="29">
        <v>70</v>
      </c>
      <c r="C19" s="29">
        <v>62</v>
      </c>
      <c r="D19" s="29">
        <v>10</v>
      </c>
      <c r="E19" s="29">
        <v>796</v>
      </c>
      <c r="F19" s="29">
        <v>29</v>
      </c>
      <c r="G19" s="29">
        <v>4037</v>
      </c>
      <c r="H19" s="29">
        <v>5709</v>
      </c>
      <c r="I19" s="29">
        <v>917</v>
      </c>
      <c r="J19" s="29">
        <f t="shared" si="7"/>
        <v>11630</v>
      </c>
    </row>
    <row r="20" spans="1:10" ht="12.75">
      <c r="A20" s="28" t="s">
        <v>24</v>
      </c>
      <c r="B20" s="29">
        <v>50</v>
      </c>
      <c r="C20" s="29">
        <v>80</v>
      </c>
      <c r="D20" s="29">
        <v>19</v>
      </c>
      <c r="E20" s="29">
        <v>1014</v>
      </c>
      <c r="F20" s="29">
        <v>34</v>
      </c>
      <c r="G20" s="29">
        <v>4563</v>
      </c>
      <c r="H20" s="29">
        <v>6577</v>
      </c>
      <c r="I20" s="29">
        <v>990</v>
      </c>
      <c r="J20" s="29">
        <f t="shared" si="7"/>
        <v>13327</v>
      </c>
    </row>
    <row r="21" spans="1:10" ht="12.75">
      <c r="A21" s="28" t="s">
        <v>47</v>
      </c>
      <c r="B21" s="29">
        <v>74</v>
      </c>
      <c r="C21" s="29">
        <v>40</v>
      </c>
      <c r="D21" s="29">
        <v>30</v>
      </c>
      <c r="E21" s="29">
        <v>822</v>
      </c>
      <c r="F21" s="29">
        <v>21</v>
      </c>
      <c r="G21" s="29">
        <v>4953</v>
      </c>
      <c r="H21" s="29">
        <v>6117</v>
      </c>
      <c r="I21" s="29">
        <v>913</v>
      </c>
      <c r="J21" s="29">
        <f t="shared" si="7"/>
        <v>12970</v>
      </c>
    </row>
    <row r="22" spans="1:10" ht="12.75">
      <c r="A22" s="28" t="s">
        <v>45</v>
      </c>
      <c r="B22" s="29">
        <v>55</v>
      </c>
      <c r="C22" s="29">
        <v>39</v>
      </c>
      <c r="D22" s="29">
        <v>19</v>
      </c>
      <c r="E22" s="29">
        <v>928</v>
      </c>
      <c r="F22" s="29">
        <v>24</v>
      </c>
      <c r="G22" s="29">
        <v>4929</v>
      </c>
      <c r="H22" s="29">
        <v>6116</v>
      </c>
      <c r="I22" s="29">
        <v>872</v>
      </c>
      <c r="J22" s="29">
        <f t="shared" si="7"/>
        <v>12982</v>
      </c>
    </row>
    <row r="23" spans="1:10" ht="12.75">
      <c r="A23" s="28" t="s">
        <v>23</v>
      </c>
      <c r="B23" s="29">
        <v>77</v>
      </c>
      <c r="C23" s="29">
        <v>49</v>
      </c>
      <c r="D23" s="29">
        <v>20</v>
      </c>
      <c r="E23" s="29">
        <v>880</v>
      </c>
      <c r="F23" s="29">
        <v>28</v>
      </c>
      <c r="G23" s="29">
        <v>4953</v>
      </c>
      <c r="H23" s="29">
        <v>6215</v>
      </c>
      <c r="I23" s="29">
        <v>898</v>
      </c>
      <c r="J23" s="29">
        <f t="shared" si="7"/>
        <v>13120</v>
      </c>
    </row>
    <row r="24" spans="1:10" ht="12.75">
      <c r="A24" s="28" t="s">
        <v>24</v>
      </c>
      <c r="B24" s="29">
        <v>68</v>
      </c>
      <c r="C24" s="29">
        <v>166</v>
      </c>
      <c r="D24" s="29">
        <v>36</v>
      </c>
      <c r="E24" s="29">
        <v>1064</v>
      </c>
      <c r="F24" s="29">
        <v>36</v>
      </c>
      <c r="G24" s="29">
        <v>5011</v>
      </c>
      <c r="H24" s="29">
        <v>6953</v>
      </c>
      <c r="I24" s="29">
        <v>988</v>
      </c>
      <c r="J24" s="29">
        <f t="shared" si="7"/>
        <v>14322</v>
      </c>
    </row>
    <row r="25" spans="1:10" ht="12.75">
      <c r="A25" s="28" t="s">
        <v>48</v>
      </c>
      <c r="B25" s="29">
        <v>78</v>
      </c>
      <c r="C25" s="29">
        <v>95</v>
      </c>
      <c r="D25" s="29">
        <v>15</v>
      </c>
      <c r="E25" s="29">
        <v>920</v>
      </c>
      <c r="F25" s="29">
        <v>36</v>
      </c>
      <c r="G25" s="29">
        <v>4767</v>
      </c>
      <c r="H25" s="29">
        <v>7174</v>
      </c>
      <c r="I25" s="29">
        <v>1006</v>
      </c>
      <c r="J25" s="29">
        <f t="shared" si="7"/>
        <v>14091</v>
      </c>
    </row>
    <row r="26" spans="1:10" ht="12.75">
      <c r="A26" s="28" t="s">
        <v>45</v>
      </c>
      <c r="B26" s="29">
        <v>76</v>
      </c>
      <c r="C26" s="29">
        <v>104</v>
      </c>
      <c r="D26" s="29">
        <v>14</v>
      </c>
      <c r="E26" s="29">
        <v>1165</v>
      </c>
      <c r="F26" s="29">
        <v>42</v>
      </c>
      <c r="G26" s="29">
        <v>4878</v>
      </c>
      <c r="H26" s="29">
        <v>6497</v>
      </c>
      <c r="I26" s="29">
        <v>935</v>
      </c>
      <c r="J26" s="29">
        <f t="shared" si="7"/>
        <v>13711</v>
      </c>
    </row>
    <row r="27" spans="1:10" ht="12.75">
      <c r="A27" s="28" t="s">
        <v>23</v>
      </c>
      <c r="B27" s="29">
        <v>83</v>
      </c>
      <c r="C27" s="29">
        <v>69</v>
      </c>
      <c r="D27" s="29">
        <v>16</v>
      </c>
      <c r="E27" s="29">
        <v>1082</v>
      </c>
      <c r="F27" s="29">
        <v>34</v>
      </c>
      <c r="G27" s="29">
        <v>4740</v>
      </c>
      <c r="H27" s="29">
        <v>6480</v>
      </c>
      <c r="I27" s="29">
        <v>964</v>
      </c>
      <c r="J27" s="29">
        <f t="shared" si="7"/>
        <v>13468</v>
      </c>
    </row>
    <row r="28" spans="1:10" ht="12.75">
      <c r="A28" s="28" t="s">
        <v>24</v>
      </c>
      <c r="B28" s="29">
        <v>76</v>
      </c>
      <c r="C28" s="29">
        <v>106</v>
      </c>
      <c r="D28" s="29">
        <v>23</v>
      </c>
      <c r="E28" s="29">
        <v>1398</v>
      </c>
      <c r="F28" s="29">
        <v>42</v>
      </c>
      <c r="G28" s="29">
        <v>4774</v>
      </c>
      <c r="H28" s="29">
        <v>7335</v>
      </c>
      <c r="I28" s="29">
        <v>1078</v>
      </c>
      <c r="J28" s="29">
        <f t="shared" si="7"/>
        <v>14832</v>
      </c>
    </row>
    <row r="29" spans="1:10" ht="12.75">
      <c r="A29" s="28" t="s">
        <v>49</v>
      </c>
      <c r="B29" s="31">
        <v>111</v>
      </c>
      <c r="C29" s="31">
        <f>9+77</f>
        <v>86</v>
      </c>
      <c r="D29" s="31">
        <f>35+5+0</f>
        <v>40</v>
      </c>
      <c r="E29" s="31">
        <v>1339</v>
      </c>
      <c r="F29" s="31">
        <f>18+26</f>
        <v>44</v>
      </c>
      <c r="G29" s="31">
        <v>3891</v>
      </c>
      <c r="H29" s="31">
        <v>6960</v>
      </c>
      <c r="I29" s="31">
        <v>1005</v>
      </c>
      <c r="J29" s="32">
        <f aca="true" t="shared" si="8" ref="J29:J40">SUM(B29:I29)</f>
        <v>13476</v>
      </c>
    </row>
    <row r="30" spans="1:10" ht="12.75">
      <c r="A30" s="28" t="s">
        <v>45</v>
      </c>
      <c r="B30" s="31">
        <v>193</v>
      </c>
      <c r="C30" s="31">
        <f>11+92</f>
        <v>103</v>
      </c>
      <c r="D30" s="31">
        <f>14+6+1</f>
        <v>21</v>
      </c>
      <c r="E30" s="31">
        <v>1459</v>
      </c>
      <c r="F30" s="31">
        <f>17+15</f>
        <v>32</v>
      </c>
      <c r="G30" s="31">
        <v>3968</v>
      </c>
      <c r="H30" s="31">
        <v>6991</v>
      </c>
      <c r="I30" s="31">
        <v>991</v>
      </c>
      <c r="J30" s="32">
        <f t="shared" si="8"/>
        <v>13758</v>
      </c>
    </row>
    <row r="31" spans="1:10" ht="12.75">
      <c r="A31" s="28" t="s">
        <v>23</v>
      </c>
      <c r="B31" s="33">
        <v>129</v>
      </c>
      <c r="C31" s="33">
        <f>10+124</f>
        <v>134</v>
      </c>
      <c r="D31" s="33">
        <f>9+2+2</f>
        <v>13</v>
      </c>
      <c r="E31" s="33">
        <v>1306</v>
      </c>
      <c r="F31" s="33">
        <f>17+11</f>
        <v>28</v>
      </c>
      <c r="G31" s="33">
        <v>4070</v>
      </c>
      <c r="H31" s="33">
        <v>7024</v>
      </c>
      <c r="I31" s="33">
        <v>1019</v>
      </c>
      <c r="J31" s="32">
        <f t="shared" si="8"/>
        <v>13723</v>
      </c>
    </row>
    <row r="32" spans="1:10" ht="12.75">
      <c r="A32" s="28" t="s">
        <v>24</v>
      </c>
      <c r="B32" s="33">
        <v>75</v>
      </c>
      <c r="C32" s="33">
        <f>9+163</f>
        <v>172</v>
      </c>
      <c r="D32" s="33">
        <f>16+10+2</f>
        <v>28</v>
      </c>
      <c r="E32" s="33">
        <v>1545</v>
      </c>
      <c r="F32" s="33">
        <f>21+15</f>
        <v>36</v>
      </c>
      <c r="G32" s="33">
        <v>4194</v>
      </c>
      <c r="H32" s="33">
        <v>7452</v>
      </c>
      <c r="I32" s="33">
        <v>1056</v>
      </c>
      <c r="J32" s="32">
        <f t="shared" si="8"/>
        <v>14558</v>
      </c>
    </row>
    <row r="33" spans="1:10" ht="12.75">
      <c r="A33" s="28" t="s">
        <v>50</v>
      </c>
      <c r="B33" s="33">
        <v>75</v>
      </c>
      <c r="C33" s="33">
        <f>6+100</f>
        <v>106</v>
      </c>
      <c r="D33" s="33">
        <f>36+7+2</f>
        <v>45</v>
      </c>
      <c r="E33" s="33">
        <v>1176</v>
      </c>
      <c r="F33" s="33">
        <f>18+14</f>
        <v>32</v>
      </c>
      <c r="G33" s="33">
        <v>4208</v>
      </c>
      <c r="H33" s="33">
        <v>7516</v>
      </c>
      <c r="I33" s="33">
        <v>1038</v>
      </c>
      <c r="J33" s="32">
        <f t="shared" si="8"/>
        <v>14196</v>
      </c>
    </row>
    <row r="34" spans="1:10" ht="12.75">
      <c r="A34" s="34" t="s">
        <v>51</v>
      </c>
      <c r="B34" s="33">
        <v>71</v>
      </c>
      <c r="C34" s="33">
        <f>5+134</f>
        <v>139</v>
      </c>
      <c r="D34" s="33">
        <f>0+8+5</f>
        <v>13</v>
      </c>
      <c r="E34" s="33">
        <v>1248</v>
      </c>
      <c r="F34" s="33">
        <f>20+15</f>
        <v>35</v>
      </c>
      <c r="G34" s="33">
        <v>4654</v>
      </c>
      <c r="H34" s="33">
        <v>7278</v>
      </c>
      <c r="I34" s="33">
        <v>1310</v>
      </c>
      <c r="J34" s="32">
        <f t="shared" si="8"/>
        <v>14748</v>
      </c>
    </row>
    <row r="35" spans="1:10" ht="12.75">
      <c r="A35" s="34" t="s">
        <v>52</v>
      </c>
      <c r="B35" s="33">
        <v>108</v>
      </c>
      <c r="C35" s="33">
        <f>4+108</f>
        <v>112</v>
      </c>
      <c r="D35" s="33">
        <f>0+14+3</f>
        <v>17</v>
      </c>
      <c r="E35" s="33">
        <v>1345</v>
      </c>
      <c r="F35" s="33">
        <f>21+11</f>
        <v>32</v>
      </c>
      <c r="G35" s="33">
        <v>4501</v>
      </c>
      <c r="H35" s="33">
        <v>7390</v>
      </c>
      <c r="I35" s="33">
        <v>1334</v>
      </c>
      <c r="J35" s="32">
        <f t="shared" si="8"/>
        <v>14839</v>
      </c>
    </row>
    <row r="36" spans="1:10" ht="12.75">
      <c r="A36" s="34" t="s">
        <v>53</v>
      </c>
      <c r="B36" s="33">
        <v>80</v>
      </c>
      <c r="C36" s="33">
        <f>5+113</f>
        <v>118</v>
      </c>
      <c r="D36" s="33">
        <f>1+6+3</f>
        <v>10</v>
      </c>
      <c r="E36" s="33">
        <v>1578</v>
      </c>
      <c r="F36" s="33">
        <f>20+12</f>
        <v>32</v>
      </c>
      <c r="G36" s="33">
        <v>4404</v>
      </c>
      <c r="H36" s="33">
        <v>7803</v>
      </c>
      <c r="I36" s="33">
        <v>1363</v>
      </c>
      <c r="J36" s="32">
        <f t="shared" si="8"/>
        <v>15388</v>
      </c>
    </row>
    <row r="37" spans="1:10" ht="12.75">
      <c r="A37" s="28" t="s">
        <v>54</v>
      </c>
      <c r="B37" s="33">
        <v>72</v>
      </c>
      <c r="C37" s="33">
        <f>4+65</f>
        <v>69</v>
      </c>
      <c r="D37" s="33">
        <f>1+10+4</f>
        <v>15</v>
      </c>
      <c r="E37" s="33">
        <v>1383</v>
      </c>
      <c r="F37" s="33">
        <f>19+20</f>
        <v>39</v>
      </c>
      <c r="G37" s="33">
        <v>4156</v>
      </c>
      <c r="H37" s="33">
        <v>7351</v>
      </c>
      <c r="I37" s="33">
        <v>1264</v>
      </c>
      <c r="J37" s="32">
        <f t="shared" si="8"/>
        <v>14349</v>
      </c>
    </row>
    <row r="38" spans="1:10" ht="12.75">
      <c r="A38" s="34" t="s">
        <v>51</v>
      </c>
      <c r="B38" s="33">
        <v>62</v>
      </c>
      <c r="C38" s="33">
        <f>5+112</f>
        <v>117</v>
      </c>
      <c r="D38" s="33">
        <f>1+15+8</f>
        <v>24</v>
      </c>
      <c r="E38" s="33">
        <v>1419</v>
      </c>
      <c r="F38" s="33">
        <f>18+16</f>
        <v>34</v>
      </c>
      <c r="G38" s="33">
        <v>3737</v>
      </c>
      <c r="H38" s="33">
        <v>7416</v>
      </c>
      <c r="I38" s="33">
        <v>1237</v>
      </c>
      <c r="J38" s="32">
        <f t="shared" si="8"/>
        <v>14046</v>
      </c>
    </row>
    <row r="39" spans="1:10" ht="12.75">
      <c r="A39" s="34" t="s">
        <v>52</v>
      </c>
      <c r="B39" s="33">
        <v>82</v>
      </c>
      <c r="C39" s="33">
        <f>4+110</f>
        <v>114</v>
      </c>
      <c r="D39" s="33">
        <f>0+6+6</f>
        <v>12</v>
      </c>
      <c r="E39" s="33">
        <v>1433</v>
      </c>
      <c r="F39" s="33">
        <f>19+13</f>
        <v>32</v>
      </c>
      <c r="G39" s="33">
        <v>3255</v>
      </c>
      <c r="H39" s="33">
        <v>7319</v>
      </c>
      <c r="I39" s="33">
        <v>1285</v>
      </c>
      <c r="J39" s="32">
        <f t="shared" si="8"/>
        <v>13532</v>
      </c>
    </row>
    <row r="40" spans="1:10" ht="12.75">
      <c r="A40" s="34" t="s">
        <v>53</v>
      </c>
      <c r="B40" s="33">
        <v>84</v>
      </c>
      <c r="C40" s="33">
        <f>9+192</f>
        <v>201</v>
      </c>
      <c r="D40" s="33">
        <f>0+5+5</f>
        <v>10</v>
      </c>
      <c r="E40" s="33">
        <v>1682</v>
      </c>
      <c r="F40" s="33">
        <f>19+17</f>
        <v>36</v>
      </c>
      <c r="G40" s="33">
        <v>2998</v>
      </c>
      <c r="H40" s="33">
        <v>7642</v>
      </c>
      <c r="I40" s="33">
        <v>1349</v>
      </c>
      <c r="J40" s="32">
        <f t="shared" si="8"/>
        <v>14002</v>
      </c>
    </row>
    <row r="41" spans="1:9" ht="12.75">
      <c r="A41" s="35"/>
      <c r="B41" s="33"/>
      <c r="C41" s="33"/>
      <c r="D41" s="33"/>
      <c r="E41" s="33"/>
      <c r="F41" s="33"/>
      <c r="G41" s="33"/>
      <c r="H41" s="33"/>
      <c r="I41" s="33"/>
    </row>
  </sheetData>
  <sheetProtection/>
  <printOptions/>
  <pageMargins left="0.75" right="0.75" top="1" bottom="1" header="0.5" footer="0.5"/>
  <pageSetup fitToHeight="0" fitToWidth="1" horizontalDpi="600" verticalDpi="600" orientation="landscape" paperSize="9" scale="96" r:id="rId3"/>
  <headerFooter alignWithMargins="0">
    <oddHeader>&amp;C&amp;A</oddHeader>
    <oddFooter>&amp;CPagina &amp;P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CCIAA Modena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CCIAA Modena</dc:creator>
  <cp:keywords/>
  <dc:description/>
  <cp:lastModifiedBy>taddia_m</cp:lastModifiedBy>
  <cp:lastPrinted>2014-06-04T10:59:51Z</cp:lastPrinted>
  <dcterms:created xsi:type="dcterms:W3CDTF">1999-06-28T13:56:05Z</dcterms:created>
  <dcterms:modified xsi:type="dcterms:W3CDTF">2016-07-12T08:37:59Z</dcterms:modified>
  <cp:category/>
  <cp:version/>
  <cp:contentType/>
  <cp:contentStatus/>
</cp:coreProperties>
</file>