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75" windowWidth="9780" windowHeight="12045" activeTab="0"/>
  </bookViews>
  <sheets>
    <sheet name="dal 2009" sheetId="1" r:id="rId1"/>
    <sheet name="dal 2004 al 2009" sheetId="2" r:id="rId2"/>
    <sheet name="dal 1995 al 2004" sheetId="3" r:id="rId3"/>
    <sheet name="dal 1988 al 199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<sst xmlns="http://schemas.openxmlformats.org/spreadsheetml/2006/main" count="305" uniqueCount="99">
  <si>
    <t>PERIODI</t>
  </si>
  <si>
    <t>TOTALE</t>
  </si>
  <si>
    <t>attive</t>
  </si>
  <si>
    <t>iscritte</t>
  </si>
  <si>
    <t>cessate</t>
  </si>
  <si>
    <t>saldo</t>
  </si>
  <si>
    <t>Anno 1995</t>
  </si>
  <si>
    <t>Anno 1996</t>
  </si>
  <si>
    <t>Anno 1997</t>
  </si>
  <si>
    <t>Anno 1998</t>
  </si>
  <si>
    <t>Anno 1999</t>
  </si>
  <si>
    <t>Anno 2000</t>
  </si>
  <si>
    <t>Anno 2001</t>
  </si>
  <si>
    <t>Anno 2002</t>
  </si>
  <si>
    <t>1995 - 1° trim.</t>
  </si>
  <si>
    <t xml:space="preserve"> - 2° trim.</t>
  </si>
  <si>
    <t xml:space="preserve"> - 3° trim.</t>
  </si>
  <si>
    <t xml:space="preserve"> - 4° trim.</t>
  </si>
  <si>
    <t>1996 - 1° trim.</t>
  </si>
  <si>
    <t>1997 - 1° trim.</t>
  </si>
  <si>
    <t>(a) 13.582</t>
  </si>
  <si>
    <t>(a) 12.291</t>
  </si>
  <si>
    <t>(a) 12.164</t>
  </si>
  <si>
    <t>(a) 62.187</t>
  </si>
  <si>
    <t>(a) 13.499</t>
  </si>
  <si>
    <t>(a) 11.916</t>
  </si>
  <si>
    <t>1998 - 1° trim.</t>
  </si>
  <si>
    <t>1999 - 1° trim.</t>
  </si>
  <si>
    <t>2000 - 1° trim.</t>
  </si>
  <si>
    <t>2001 - 1° trim.</t>
  </si>
  <si>
    <t>2002 - 1° trim.</t>
  </si>
  <si>
    <t>2003 - 1° trim.</t>
  </si>
  <si>
    <t>Fonte: Movimprese - Infocamere</t>
  </si>
  <si>
    <t>Nota: Dal 1995 i dati sono pubblicati con la nuova codifica delle attività economiche ISTAT '91; non è quindi possibile continuare la serie storica precedente, codificata con i codici ISTAT '81.</t>
  </si>
  <si>
    <t>Nota: la somma algebrica delle iscrizioni e cessazioni non consente di ricostruire la successione delle consistenze, le quali comprendono anche le variazioni (di attività, di provincia, ecc. )</t>
  </si>
  <si>
    <t>(a) Dal 1° trim. 1997 l'archivio comprende anche le imprese agricole e società semplici precedentemente non tenute all'iscrizione, pertanto i dati relativi alle iscrizioni ed allo stock delle imprese non sono confrontabili.</t>
  </si>
  <si>
    <t>REGISTRO IMPRESE - MOVIMENTAZIONE E CONSISTENZA A FINE PERIODO DELLE IMPRESE IN PROVINCIA DI MODENA PER SETTORI - Anni 1988 - 1994</t>
  </si>
  <si>
    <t>ATTIVITA' CONNESSE AGRICOLTURA</t>
  </si>
  <si>
    <t>ENERGIA, GAS E  ACQUA</t>
  </si>
  <si>
    <t xml:space="preserve">CERAMICO, CHIMICO </t>
  </si>
  <si>
    <t>METALMECCANICO</t>
  </si>
  <si>
    <t xml:space="preserve">ALIM., TESS., ABB., LEGNO E ALTRE </t>
  </si>
  <si>
    <t>EDILIZIA</t>
  </si>
  <si>
    <t>iscrizioni</t>
  </si>
  <si>
    <t>cessazioni</t>
  </si>
  <si>
    <t>Anno 1988</t>
  </si>
  <si>
    <t>Anno 1989</t>
  </si>
  <si>
    <t>Anno 1990</t>
  </si>
  <si>
    <t>Anno 1991</t>
  </si>
  <si>
    <t>Anno 1992</t>
  </si>
  <si>
    <t>Anno 1993</t>
  </si>
  <si>
    <t>Anno 1994</t>
  </si>
  <si>
    <t>1994 - 1° trim.</t>
  </si>
  <si>
    <t>COMMERCIO</t>
  </si>
  <si>
    <t>TRASPORTI</t>
  </si>
  <si>
    <t>CREDITO, ASSIC., SERVIZI A IMPRESE</t>
  </si>
  <si>
    <t>SERVIZI ALLE PERSONE</t>
  </si>
  <si>
    <t>IMPRESE NON CLASSIFICATE</t>
  </si>
  <si>
    <t xml:space="preserve">Fonte: Movimprese - Infocamere </t>
  </si>
  <si>
    <t>Anno 2003</t>
  </si>
  <si>
    <t>Anno 2004</t>
  </si>
  <si>
    <t>2004 - 1° trim.</t>
  </si>
  <si>
    <t>2005 - 1° trim.</t>
  </si>
  <si>
    <t>AGRICOLTURA (A+B)</t>
  </si>
  <si>
    <t>INDUSTRIA (C+D+E+F)</t>
  </si>
  <si>
    <t>TERZIARIO (G+H+I+J+K+M+N+O)</t>
  </si>
  <si>
    <t>NON CLASSIFICATE (X)</t>
  </si>
  <si>
    <t>REGISTRO IMPRESE - MOVIMENTAZIONE E CONSISTENZA A FINE PERIODO DELLE IMPRESE IN PROVINCIA DI MODENA PER GRANDI SETTORI DAL 1995 al 2004</t>
  </si>
  <si>
    <t>Anno 2005</t>
  </si>
  <si>
    <t>2006 - 1° trim.</t>
  </si>
  <si>
    <t>Anno 2006</t>
  </si>
  <si>
    <t>2007 - 1° trim.</t>
  </si>
  <si>
    <t>Anno 2007</t>
  </si>
  <si>
    <t>2008 - 1° trim.</t>
  </si>
  <si>
    <t>Anno 2008</t>
  </si>
  <si>
    <t>(b) le iscrizioni e le cessazioni sono estratte dalle imprese registrate e non da quelle attive</t>
  </si>
  <si>
    <t>Anno 2009</t>
  </si>
  <si>
    <t>2009 - 1° trim.</t>
  </si>
  <si>
    <t>AGRICOLTURA (A)</t>
  </si>
  <si>
    <t>INDUSTRIA (B+C+D+E+F)</t>
  </si>
  <si>
    <t>TERZIARIO (G+H+I+J+K+LM+N+O+P+Q+R+S+T+U)</t>
  </si>
  <si>
    <t>ateco 2007</t>
  </si>
  <si>
    <t>ateco 2002</t>
  </si>
  <si>
    <t>REGISTRO IMPRESE - MOVIMENTAZIONE E CONSISTENZA A FINE PERIODO DELLE IMPRESE IN PROVINCIA DI MODENA PER GRANDI SETTORI DAL 2009 - ATECO 2007</t>
  </si>
  <si>
    <t>REGISTRO IMPRESE - MOVIMENTAZIONE E CONSISTENZA A FINE PERIODO DELLE IMPRESE IN PROVINCIA DI MODENA PER GRANDI SETTORI DAL 2004 AL 2009 - ATECO 2002</t>
  </si>
  <si>
    <t>2010 - 1° trim.</t>
  </si>
  <si>
    <t>Anno 2010</t>
  </si>
  <si>
    <t>2011 - 1° trim.</t>
  </si>
  <si>
    <t>Anno 2011</t>
  </si>
  <si>
    <t>Anno 2012</t>
  </si>
  <si>
    <t>2012 - 1° trim.</t>
  </si>
  <si>
    <t>Anno 2013</t>
  </si>
  <si>
    <t>2013 - 1° trim.</t>
  </si>
  <si>
    <t>2014 - 1° trim.</t>
  </si>
  <si>
    <t>Anno 2014</t>
  </si>
  <si>
    <t>Nota: Dal 2009 i dati sono pubblicati con la nuova codifica ATECO 2007 in sostituzione alle attività economiche codificate ATECO 2002 in vigore dal 2004, queste ultime già consecutive alla serie storica codificata con i codici ISTAT '91 (1995-2004).</t>
  </si>
  <si>
    <t>Nota: Dal 2004 i dati sono pubblicati con la nuova codifica ATECO 2002; non è quindi possibile continuare la serie storica precedente, codificata con i codici ISTAT '91.</t>
  </si>
  <si>
    <t>2015 - 1° trim.</t>
  </si>
  <si>
    <t>Anno 2015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</si>
</sst>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#,##0_);\(&quot;L.&quot;#,##0\)"/>
    <numFmt numFmtId="165" formatCode="&quot;L.&quot;#,##0_);[Red]\(&quot;L.&quot;#,##0\)"/>
    <numFmt numFmtId="166" formatCode="&quot;L.&quot;#,##0.00_);\(&quot;L.&quot;#,##0.00\)"/>
    <numFmt numFmtId="167" formatCode="&quot;L.&quot;#,##0.00_);[Red]\(&quot;L.&quot;#,##0.00\)"/>
    <numFmt numFmtId="168" formatCode="_(&quot;L.&quot;* #,##0_);_(&quot;L.&quot;* \(#,##0\);_(&quot;L.&quot;* &quot;-&quot;_);_(@_)"/>
    <numFmt numFmtId="169" formatCode="_(* #,##0_);_(* \(#,##0\);_(* &quot;-&quot;_);_(@_)"/>
    <numFmt numFmtId="170" formatCode="_(&quot;L.&quot;* #,##0.00_);_(&quot;L.&quot;* \(#,##0.00\);_(&quot;L.&quot;* &quot;-&quot;??_);_(@_)"/>
    <numFmt numFmtId="171" formatCode="_(* #,##0.00_);_(* \(#,##0.00\);_(* &quot;-&quot;??_);_(@_)"/>
    <numFmt numFmtId="172" formatCode="&quot;L.&quot;\ #,##0;&quot;L.&quot;\ \-#,##0"/>
    <numFmt numFmtId="173" formatCode="&quot;L.&quot;\ #,##0;[Red]&quot;L.&quot;\ \-#,##0"/>
    <numFmt numFmtId="174" formatCode="&quot;L.&quot;\ #,##0.00;&quot;L.&quot;\ \-#,##0.00"/>
    <numFmt numFmtId="175" formatCode="&quot;L.&quot;\ #,##0.00;[Red]&quot;L.&quot;\ \-#,##0.00"/>
    <numFmt numFmtId="176" formatCode="_ &quot;L.&quot;\ * #,##0_ ;_ &quot;L.&quot;\ * \-#,##0_ ;_ &quot;L.&quot;\ * &quot;-&quot;_ ;_ @_ "/>
    <numFmt numFmtId="177" formatCode="_ * #,##0_ ;_ * \-#,##0_ ;_ * &quot;-&quot;_ ;_ @_ "/>
    <numFmt numFmtId="178" formatCode="_ &quot;L.&quot;\ * #,##0.00_ ;_ &quot;L.&quot;\ * \-#,##0.00_ ;_ &quot;L.&quot;\ * &quot;-&quot;??_ ;_ @_ "/>
    <numFmt numFmtId="179" formatCode="_ * #,##0.00_ ;_ * \-#,##0.00_ ;_ * &quot;-&quot;??_ ;_ @_ "/>
    <numFmt numFmtId="180" formatCode="#,##0_ ;\-#,##0\ 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8" xfId="0" applyFont="1" applyBorder="1" applyAlignment="1">
      <alignment horizontal="centerContinuous" vertical="center"/>
    </xf>
    <xf numFmtId="0" fontId="4" fillId="0" borderId="19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Continuous" vertical="center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Alignment="1">
      <alignment/>
    </xf>
    <xf numFmtId="0" fontId="1" fillId="0" borderId="21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21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3" fontId="4" fillId="0" borderId="0" xfId="46" applyNumberFormat="1" applyFont="1" applyBorder="1" applyAlignment="1">
      <alignment horizontal="right"/>
    </xf>
    <xf numFmtId="3" fontId="4" fillId="0" borderId="0" xfId="46" applyNumberFormat="1" applyFont="1" applyBorder="1" applyAlignment="1">
      <alignment horizontal="righ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4" fillId="0" borderId="2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Continuous" vertical="center"/>
    </xf>
    <xf numFmtId="0" fontId="4" fillId="0" borderId="30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Continuous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VIMPR\IND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opolazione"/>
      <sheetName val="Lavoro"/>
      <sheetName val="Redd. e Cons."/>
      <sheetName val="Imprese"/>
      <sheetName val="Agricoltura"/>
      <sheetName val="Ind. Manifatt."/>
      <sheetName val="Edilizia"/>
      <sheetName val="Import Export"/>
      <sheetName val="Comm. e Servizi"/>
      <sheetName val="Credito e insol."/>
      <sheetName val="Prezzi"/>
      <sheetName val="Modulo1"/>
      <sheetName val="Modulo2"/>
    </sheetNames>
    <definedNames>
      <definedName name="chiusur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showGridLines="0" tabSelected="1" zoomScale="120" zoomScaleNormal="120" zoomScalePageLayoutView="0" workbookViewId="0" topLeftCell="M1">
      <pane ySplit="4" topLeftCell="A17" activePane="bottomLeft" state="frozen"/>
      <selection pane="topLeft" activeCell="A1" sqref="A1"/>
      <selection pane="bottomLeft" activeCell="S41" sqref="S41"/>
    </sheetView>
  </sheetViews>
  <sheetFormatPr defaultColWidth="9.140625" defaultRowHeight="12.75"/>
  <cols>
    <col min="1" max="1" width="12.421875" style="18" customWidth="1"/>
    <col min="2" max="2" width="9.00390625" style="18" customWidth="1"/>
    <col min="3" max="3" width="9.140625" style="18" customWidth="1"/>
    <col min="4" max="4" width="7.8515625" style="18" customWidth="1"/>
    <col min="5" max="5" width="9.28125" style="18" customWidth="1"/>
    <col min="6" max="7" width="7.8515625" style="18" customWidth="1"/>
    <col min="8" max="8" width="7.7109375" style="18" customWidth="1"/>
    <col min="9" max="9" width="9.140625" style="18" customWidth="1"/>
    <col min="10" max="13" width="9.7109375" style="18" customWidth="1"/>
    <col min="14" max="17" width="7.8515625" style="18" customWidth="1"/>
    <col min="18" max="21" width="7.7109375" style="18" customWidth="1"/>
    <col min="22" max="16384" width="9.140625" style="18" customWidth="1"/>
  </cols>
  <sheetData>
    <row r="1" spans="1:21" ht="21" customHeight="1">
      <c r="A1" s="36" t="s">
        <v>83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8"/>
    </row>
    <row r="2" spans="1:21" ht="11.25">
      <c r="A2" s="39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40"/>
    </row>
    <row r="3" spans="1:21" s="6" customFormat="1" ht="11.25">
      <c r="A3" s="41" t="s">
        <v>0</v>
      </c>
      <c r="B3" s="42" t="s">
        <v>78</v>
      </c>
      <c r="C3" s="43"/>
      <c r="D3" s="43"/>
      <c r="E3" s="44"/>
      <c r="F3" s="42" t="s">
        <v>79</v>
      </c>
      <c r="G3" s="43"/>
      <c r="H3" s="45"/>
      <c r="I3" s="44"/>
      <c r="J3" s="42" t="s">
        <v>80</v>
      </c>
      <c r="K3" s="43"/>
      <c r="L3" s="45"/>
      <c r="M3" s="44"/>
      <c r="N3" s="42" t="s">
        <v>66</v>
      </c>
      <c r="O3" s="43"/>
      <c r="P3" s="45"/>
      <c r="Q3" s="44"/>
      <c r="R3" s="42" t="s">
        <v>1</v>
      </c>
      <c r="S3" s="43"/>
      <c r="T3" s="45"/>
      <c r="U3" s="44"/>
    </row>
    <row r="4" spans="1:21" s="13" customFormat="1" ht="27" customHeight="1">
      <c r="A4" s="7" t="s">
        <v>81</v>
      </c>
      <c r="B4" s="33" t="s">
        <v>2</v>
      </c>
      <c r="C4" s="33" t="s">
        <v>3</v>
      </c>
      <c r="D4" s="33" t="s">
        <v>4</v>
      </c>
      <c r="E4" s="33" t="s">
        <v>5</v>
      </c>
      <c r="F4" s="33" t="s">
        <v>2</v>
      </c>
      <c r="G4" s="33" t="s">
        <v>3</v>
      </c>
      <c r="H4" s="33" t="s">
        <v>4</v>
      </c>
      <c r="I4" s="33" t="s">
        <v>5</v>
      </c>
      <c r="J4" s="34" t="s">
        <v>2</v>
      </c>
      <c r="K4" s="33" t="s">
        <v>3</v>
      </c>
      <c r="L4" s="33" t="s">
        <v>4</v>
      </c>
      <c r="M4" s="33" t="s">
        <v>5</v>
      </c>
      <c r="N4" s="34" t="s">
        <v>2</v>
      </c>
      <c r="O4" s="33" t="s">
        <v>3</v>
      </c>
      <c r="P4" s="33" t="s">
        <v>4</v>
      </c>
      <c r="Q4" s="33" t="s">
        <v>5</v>
      </c>
      <c r="R4" s="34" t="s">
        <v>2</v>
      </c>
      <c r="S4" s="33" t="s">
        <v>3</v>
      </c>
      <c r="T4" s="33" t="s">
        <v>4</v>
      </c>
      <c r="U4" s="35" t="s">
        <v>5</v>
      </c>
    </row>
    <row r="5" spans="1:21" s="24" customFormat="1" ht="11.25">
      <c r="A5" s="22" t="s">
        <v>76</v>
      </c>
      <c r="B5" s="15">
        <f>B16</f>
        <v>9553</v>
      </c>
      <c r="C5" s="15">
        <f>SUM(C13:C16)</f>
        <v>218</v>
      </c>
      <c r="D5" s="15">
        <f>SUM(D13:D16)</f>
        <v>441</v>
      </c>
      <c r="E5" s="15">
        <f>SUM(E13:E16)</f>
        <v>-223</v>
      </c>
      <c r="F5" s="15">
        <f>F16</f>
        <v>22478</v>
      </c>
      <c r="G5" s="15">
        <f>SUM(G13:G16)</f>
        <v>1500</v>
      </c>
      <c r="H5" s="15">
        <f>SUM(H13:H16)</f>
        <v>2294</v>
      </c>
      <c r="I5" s="15">
        <f>SUM(I13:I16)</f>
        <v>-794</v>
      </c>
      <c r="J5" s="15">
        <f>J16</f>
        <v>36007</v>
      </c>
      <c r="K5" s="15">
        <f>SUM(K13:K16)</f>
        <v>2067</v>
      </c>
      <c r="L5" s="15">
        <f>SUM(L13:L16)</f>
        <v>2789</v>
      </c>
      <c r="M5" s="15">
        <f>SUM(M13:M16)</f>
        <v>-722</v>
      </c>
      <c r="N5" s="15">
        <f>N16</f>
        <v>94</v>
      </c>
      <c r="O5" s="15">
        <f>SUM(O13:O16)</f>
        <v>1135</v>
      </c>
      <c r="P5" s="15">
        <f>SUM(P13:P16)</f>
        <v>190</v>
      </c>
      <c r="Q5" s="15">
        <f>SUM(Q13:Q16)</f>
        <v>945</v>
      </c>
      <c r="R5" s="15">
        <f>R16</f>
        <v>68132</v>
      </c>
      <c r="S5" s="15">
        <f>SUM(S13:S16)</f>
        <v>4920</v>
      </c>
      <c r="T5" s="15">
        <f>SUM(T13:T16)</f>
        <v>5714</v>
      </c>
      <c r="U5" s="15">
        <f>SUM(U13:U16)</f>
        <v>-794</v>
      </c>
    </row>
    <row r="6" spans="1:21" s="24" customFormat="1" ht="11.25">
      <c r="A6" s="22" t="s">
        <v>86</v>
      </c>
      <c r="B6" s="15">
        <f>B20</f>
        <v>9298</v>
      </c>
      <c r="C6" s="15">
        <f>SUM(C17:C20)</f>
        <v>211</v>
      </c>
      <c r="D6" s="15">
        <f aca="true" t="shared" si="0" ref="D6:U6">SUM(D17:D20)</f>
        <v>504</v>
      </c>
      <c r="E6" s="15">
        <f t="shared" si="0"/>
        <v>-293</v>
      </c>
      <c r="F6" s="15">
        <f>F20</f>
        <v>22119</v>
      </c>
      <c r="G6" s="15">
        <f t="shared" si="0"/>
        <v>1352</v>
      </c>
      <c r="H6" s="15">
        <f t="shared" si="0"/>
        <v>1934</v>
      </c>
      <c r="I6" s="15">
        <f t="shared" si="0"/>
        <v>-582</v>
      </c>
      <c r="J6" s="15">
        <f>J20</f>
        <v>36418</v>
      </c>
      <c r="K6" s="15">
        <f t="shared" si="0"/>
        <v>1989</v>
      </c>
      <c r="L6" s="15">
        <f t="shared" si="0"/>
        <v>2630</v>
      </c>
      <c r="M6" s="15">
        <f t="shared" si="0"/>
        <v>-641</v>
      </c>
      <c r="N6" s="15">
        <f>N20</f>
        <v>41</v>
      </c>
      <c r="O6" s="15">
        <f t="shared" si="0"/>
        <v>1637</v>
      </c>
      <c r="P6" s="15">
        <f t="shared" si="0"/>
        <v>188</v>
      </c>
      <c r="Q6" s="15">
        <f t="shared" si="0"/>
        <v>1449</v>
      </c>
      <c r="R6" s="15">
        <f>R20</f>
        <v>67876</v>
      </c>
      <c r="S6" s="15">
        <f t="shared" si="0"/>
        <v>5189</v>
      </c>
      <c r="T6" s="15">
        <f t="shared" si="0"/>
        <v>5256</v>
      </c>
      <c r="U6" s="15">
        <f t="shared" si="0"/>
        <v>-67</v>
      </c>
    </row>
    <row r="7" spans="1:21" s="24" customFormat="1" ht="11.25">
      <c r="A7" s="22" t="s">
        <v>88</v>
      </c>
      <c r="B7" s="15">
        <f>B24</f>
        <v>9222</v>
      </c>
      <c r="C7" s="15">
        <f>SUM(C21:C24)</f>
        <v>244</v>
      </c>
      <c r="D7" s="15">
        <f>SUM(D21:D24)</f>
        <v>373</v>
      </c>
      <c r="E7" s="15">
        <f>SUM(E21:E24)</f>
        <v>-129</v>
      </c>
      <c r="F7" s="15">
        <f>F24</f>
        <v>22115</v>
      </c>
      <c r="G7" s="15">
        <f>SUM(G27:G28)</f>
        <v>480</v>
      </c>
      <c r="H7" s="15">
        <f>SUM(H25:H28)</f>
        <v>1655</v>
      </c>
      <c r="I7" s="15">
        <f aca="true" t="shared" si="1" ref="I7:U7">SUM(I21:I24)</f>
        <v>-201</v>
      </c>
      <c r="J7" s="15">
        <f>J24</f>
        <v>36917</v>
      </c>
      <c r="K7" s="15">
        <f t="shared" si="1"/>
        <v>1811</v>
      </c>
      <c r="L7" s="15">
        <f>SUM(L21:L24)</f>
        <v>2217</v>
      </c>
      <c r="M7" s="15">
        <f t="shared" si="1"/>
        <v>-406</v>
      </c>
      <c r="N7" s="15">
        <f>N24</f>
        <v>42</v>
      </c>
      <c r="O7" s="15">
        <f>SUM(O21:O24)</f>
        <v>1500</v>
      </c>
      <c r="P7" s="15">
        <f t="shared" si="1"/>
        <v>179</v>
      </c>
      <c r="Q7" s="15">
        <f t="shared" si="1"/>
        <v>1321</v>
      </c>
      <c r="R7" s="15">
        <f>R24</f>
        <v>68296</v>
      </c>
      <c r="S7" s="15">
        <f>SUM(S21:S24)</f>
        <v>4914</v>
      </c>
      <c r="T7" s="15">
        <f t="shared" si="1"/>
        <v>4329</v>
      </c>
      <c r="U7" s="15">
        <f t="shared" si="1"/>
        <v>585</v>
      </c>
    </row>
    <row r="8" spans="1:21" s="24" customFormat="1" ht="11.25">
      <c r="A8" s="22" t="s">
        <v>89</v>
      </c>
      <c r="B8" s="15">
        <f>B28</f>
        <v>9112</v>
      </c>
      <c r="C8" s="15">
        <f>SUM(C25:C28)</f>
        <v>248</v>
      </c>
      <c r="D8" s="15">
        <f>SUM(D25:D28)</f>
        <v>378</v>
      </c>
      <c r="E8" s="15">
        <f>SUM(E25:E28)</f>
        <v>-130</v>
      </c>
      <c r="F8" s="15">
        <f>F28</f>
        <v>21751</v>
      </c>
      <c r="G8" s="15">
        <f>SUM(G25:G28)</f>
        <v>1211</v>
      </c>
      <c r="H8" s="15">
        <f>SUM(H25:H28)</f>
        <v>1655</v>
      </c>
      <c r="I8" s="15">
        <f>SUM(I25:I28)</f>
        <v>-444</v>
      </c>
      <c r="J8" s="15">
        <f>J28</f>
        <v>36875</v>
      </c>
      <c r="K8" s="15">
        <f>SUM(K25:K28)</f>
        <v>1711</v>
      </c>
      <c r="L8" s="15">
        <f>SUM(L25:L28)</f>
        <v>2607</v>
      </c>
      <c r="M8" s="15">
        <f>SUM(M25:M28)</f>
        <v>-896</v>
      </c>
      <c r="N8" s="15">
        <f>N28</f>
        <v>50</v>
      </c>
      <c r="O8" s="15">
        <f>SUM(O25:O28)</f>
        <v>1537</v>
      </c>
      <c r="P8" s="15">
        <f>SUM(P25:P28)</f>
        <v>222</v>
      </c>
      <c r="Q8" s="15">
        <f>SUM(Q25:Q28)</f>
        <v>1315</v>
      </c>
      <c r="R8" s="15">
        <f>R28</f>
        <v>67788</v>
      </c>
      <c r="S8" s="15">
        <f>SUM(S25:S28)</f>
        <v>4707</v>
      </c>
      <c r="T8" s="15">
        <f>SUM(T25:T28)</f>
        <v>4862</v>
      </c>
      <c r="U8" s="15">
        <f>SUM(U25:U28)</f>
        <v>-155</v>
      </c>
    </row>
    <row r="9" spans="1:21" s="24" customFormat="1" ht="11.25">
      <c r="A9" s="22" t="s">
        <v>91</v>
      </c>
      <c r="B9" s="15">
        <f>B32</f>
        <v>8674</v>
      </c>
      <c r="C9" s="15">
        <f>SUM(C29:C32)</f>
        <v>229</v>
      </c>
      <c r="D9" s="15">
        <f>SUM(D29:D32)</f>
        <v>683</v>
      </c>
      <c r="E9" s="15">
        <f>SUM(E29:E32)</f>
        <v>-454</v>
      </c>
      <c r="F9" s="15">
        <f>F32</f>
        <v>21373</v>
      </c>
      <c r="G9" s="15">
        <f>SUM(G29:G32)</f>
        <v>1230</v>
      </c>
      <c r="H9" s="15">
        <f>SUM(H29:H32)</f>
        <v>1636</v>
      </c>
      <c r="I9" s="15">
        <f>SUM(I29:I32)</f>
        <v>-406</v>
      </c>
      <c r="J9" s="15">
        <f>J32</f>
        <v>37086</v>
      </c>
      <c r="K9" s="15">
        <f>SUM(K29:K32)</f>
        <v>2050</v>
      </c>
      <c r="L9" s="15">
        <f>SUM(L29:L32)</f>
        <v>2698</v>
      </c>
      <c r="M9" s="15">
        <f>SUM(M29:M32)</f>
        <v>-648</v>
      </c>
      <c r="N9" s="15">
        <f>N32</f>
        <v>57</v>
      </c>
      <c r="O9" s="15">
        <f>SUM(O29:O32)</f>
        <v>1452</v>
      </c>
      <c r="P9" s="15">
        <f>SUM(P29:P32)</f>
        <v>192</v>
      </c>
      <c r="Q9" s="15">
        <f>SUM(Q29:Q32)</f>
        <v>1260</v>
      </c>
      <c r="R9" s="15">
        <f>R32</f>
        <v>67190</v>
      </c>
      <c r="S9" s="15">
        <f>SUM(S29:S32)</f>
        <v>4961</v>
      </c>
      <c r="T9" s="15">
        <f>SUM(T29:T32)</f>
        <v>5209</v>
      </c>
      <c r="U9" s="15">
        <f>SUM(U29:U32)</f>
        <v>-248</v>
      </c>
    </row>
    <row r="10" spans="1:21" s="24" customFormat="1" ht="11.25">
      <c r="A10" s="22" t="s">
        <v>94</v>
      </c>
      <c r="B10" s="15">
        <f>B36</f>
        <v>8468</v>
      </c>
      <c r="C10" s="15">
        <f>SUM(C33:C36)</f>
        <v>193</v>
      </c>
      <c r="D10" s="15">
        <f aca="true" t="shared" si="2" ref="D10:Q10">SUM(D33:D36)</f>
        <v>424</v>
      </c>
      <c r="E10" s="15">
        <f t="shared" si="2"/>
        <v>-231</v>
      </c>
      <c r="F10" s="15">
        <f>F36</f>
        <v>21090</v>
      </c>
      <c r="G10" s="15">
        <f t="shared" si="2"/>
        <v>1024</v>
      </c>
      <c r="H10" s="15">
        <f t="shared" si="2"/>
        <v>1496</v>
      </c>
      <c r="I10" s="15">
        <f t="shared" si="2"/>
        <v>-472</v>
      </c>
      <c r="J10" s="15">
        <f>J36</f>
        <v>36989</v>
      </c>
      <c r="K10" s="15">
        <f t="shared" si="2"/>
        <v>1848</v>
      </c>
      <c r="L10" s="15">
        <f t="shared" si="2"/>
        <v>2746</v>
      </c>
      <c r="M10" s="15">
        <f t="shared" si="2"/>
        <v>-898</v>
      </c>
      <c r="N10" s="15">
        <f>N36</f>
        <v>29</v>
      </c>
      <c r="O10" s="15">
        <f t="shared" si="2"/>
        <v>1344</v>
      </c>
      <c r="P10" s="15">
        <f t="shared" si="2"/>
        <v>213</v>
      </c>
      <c r="Q10" s="15">
        <f t="shared" si="2"/>
        <v>1131</v>
      </c>
      <c r="R10" s="15">
        <f>R36</f>
        <v>66576</v>
      </c>
      <c r="S10" s="15">
        <f>SUM(S33:S36)</f>
        <v>4409</v>
      </c>
      <c r="T10" s="15">
        <f>SUM(T33:T36)</f>
        <v>4879</v>
      </c>
      <c r="U10" s="15">
        <f>SUM(U33:U36)</f>
        <v>-470</v>
      </c>
    </row>
    <row r="11" spans="1:21" s="24" customFormat="1" ht="11.25">
      <c r="A11" s="22" t="s">
        <v>98</v>
      </c>
      <c r="B11" s="15">
        <f>B40</f>
        <v>8371</v>
      </c>
      <c r="C11" s="15">
        <f>SUM(C37:C40)</f>
        <v>252</v>
      </c>
      <c r="D11" s="15">
        <f aca="true" t="shared" si="3" ref="D11:U11">SUM(D37:D40)</f>
        <v>367</v>
      </c>
      <c r="E11" s="15">
        <f t="shared" si="3"/>
        <v>-115</v>
      </c>
      <c r="F11" s="15">
        <f>F40</f>
        <v>20795</v>
      </c>
      <c r="G11" s="15">
        <f t="shared" si="3"/>
        <v>1033</v>
      </c>
      <c r="H11" s="15">
        <f t="shared" si="3"/>
        <v>1432</v>
      </c>
      <c r="I11" s="15">
        <f t="shared" si="3"/>
        <v>-399</v>
      </c>
      <c r="J11" s="15">
        <f>J40</f>
        <v>37162</v>
      </c>
      <c r="K11" s="15">
        <f t="shared" si="3"/>
        <v>1898</v>
      </c>
      <c r="L11" s="15">
        <f t="shared" si="3"/>
        <v>2468</v>
      </c>
      <c r="M11" s="15">
        <f t="shared" si="3"/>
        <v>-570</v>
      </c>
      <c r="N11" s="15">
        <f>N40</f>
        <v>20</v>
      </c>
      <c r="O11" s="15">
        <f t="shared" si="3"/>
        <v>1327</v>
      </c>
      <c r="P11" s="15">
        <f t="shared" si="3"/>
        <v>167</v>
      </c>
      <c r="Q11" s="15">
        <f t="shared" si="3"/>
        <v>1160</v>
      </c>
      <c r="R11" s="15">
        <f>R40</f>
        <v>66348</v>
      </c>
      <c r="S11" s="15">
        <f t="shared" si="3"/>
        <v>4510</v>
      </c>
      <c r="T11" s="15">
        <f t="shared" si="3"/>
        <v>4434</v>
      </c>
      <c r="U11" s="15">
        <f t="shared" si="3"/>
        <v>76</v>
      </c>
    </row>
    <row r="12" spans="1:21" s="24" customFormat="1" ht="11.25">
      <c r="A12" s="22"/>
      <c r="B12" s="15"/>
      <c r="C12" s="15"/>
      <c r="D12" s="15"/>
      <c r="E12" s="15"/>
      <c r="F12" s="23"/>
      <c r="G12" s="15"/>
      <c r="H12" s="15"/>
      <c r="I12" s="31"/>
      <c r="J12" s="15"/>
      <c r="K12" s="15"/>
      <c r="L12" s="15"/>
      <c r="M12" s="15"/>
      <c r="N12" s="15"/>
      <c r="O12" s="15"/>
      <c r="P12" s="15"/>
      <c r="Q12" s="15"/>
      <c r="R12" s="23"/>
      <c r="S12" s="23"/>
      <c r="T12" s="23"/>
      <c r="U12" s="15"/>
    </row>
    <row r="13" spans="1:21" ht="11.25">
      <c r="A13" s="17" t="s">
        <v>77</v>
      </c>
      <c r="B13" s="23">
        <v>9613</v>
      </c>
      <c r="C13" s="17">
        <v>94</v>
      </c>
      <c r="D13" s="17">
        <v>229</v>
      </c>
      <c r="E13" s="17">
        <f aca="true" t="shared" si="4" ref="E13:E28">C13-D13</f>
        <v>-135</v>
      </c>
      <c r="F13" s="16">
        <f>38+11024+23+99+11876</f>
        <v>23060</v>
      </c>
      <c r="G13" s="16">
        <f>201+1+317</f>
        <v>519</v>
      </c>
      <c r="H13" s="23">
        <f>2+330+1+402</f>
        <v>735</v>
      </c>
      <c r="I13" s="16">
        <f aca="true" t="shared" si="5" ref="I13:I28">G13-H13</f>
        <v>-216</v>
      </c>
      <c r="J13" s="16">
        <f>14615+2728+3494+1168+1351+5014+2512+1326+196+219+562+2635</f>
        <v>35820</v>
      </c>
      <c r="K13" s="16">
        <f>281+27+79+43+29+44+64+58+3+4+22+43</f>
        <v>697</v>
      </c>
      <c r="L13" s="16">
        <f>466+70+97+39+50+122+86+45+8+3+21+59</f>
        <v>1066</v>
      </c>
      <c r="M13" s="16">
        <f aca="true" t="shared" si="6" ref="M13:M28">K13-L13</f>
        <v>-369</v>
      </c>
      <c r="N13" s="16">
        <v>82</v>
      </c>
      <c r="O13" s="16">
        <v>293</v>
      </c>
      <c r="P13" s="16">
        <v>53</v>
      </c>
      <c r="Q13" s="16">
        <f aca="true" t="shared" si="7" ref="Q13:Q28">O13-P13</f>
        <v>240</v>
      </c>
      <c r="R13" s="16">
        <f aca="true" t="shared" si="8" ref="R13:U23">F13+J13+N13+B13</f>
        <v>68575</v>
      </c>
      <c r="S13" s="16">
        <f t="shared" si="8"/>
        <v>1603</v>
      </c>
      <c r="T13" s="16">
        <f t="shared" si="8"/>
        <v>2083</v>
      </c>
      <c r="U13" s="16">
        <f t="shared" si="8"/>
        <v>-480</v>
      </c>
    </row>
    <row r="14" spans="1:21" ht="11.25">
      <c r="A14" s="17" t="s">
        <v>15</v>
      </c>
      <c r="B14" s="23">
        <v>9635</v>
      </c>
      <c r="C14" s="17">
        <v>66</v>
      </c>
      <c r="D14" s="17">
        <v>60</v>
      </c>
      <c r="E14" s="17">
        <f t="shared" si="4"/>
        <v>6</v>
      </c>
      <c r="F14" s="16">
        <f>39+10971+27+101+11812</f>
        <v>22950</v>
      </c>
      <c r="G14" s="16">
        <f>137+3+257</f>
        <v>397</v>
      </c>
      <c r="H14" s="23">
        <f>178+324</f>
        <v>502</v>
      </c>
      <c r="I14" s="16">
        <f t="shared" si="5"/>
        <v>-105</v>
      </c>
      <c r="J14" s="16">
        <f>14754+2705+3503+1192+1355+5036+2550+1328+201+222+575+2639</f>
        <v>36060</v>
      </c>
      <c r="K14" s="16">
        <f>244+18+55+24+16+19+40+25+2+14+36</f>
        <v>493</v>
      </c>
      <c r="L14" s="16">
        <f>164+45+60+15+17+33+34+29+2+8+32</f>
        <v>439</v>
      </c>
      <c r="M14" s="16">
        <f t="shared" si="6"/>
        <v>54</v>
      </c>
      <c r="N14" s="16">
        <v>69</v>
      </c>
      <c r="O14" s="16">
        <v>258</v>
      </c>
      <c r="P14" s="16">
        <v>23</v>
      </c>
      <c r="Q14" s="16">
        <f t="shared" si="7"/>
        <v>235</v>
      </c>
      <c r="R14" s="16">
        <f t="shared" si="8"/>
        <v>68714</v>
      </c>
      <c r="S14" s="16">
        <f t="shared" si="8"/>
        <v>1214</v>
      </c>
      <c r="T14" s="16">
        <f t="shared" si="8"/>
        <v>1024</v>
      </c>
      <c r="U14" s="16">
        <f t="shared" si="8"/>
        <v>190</v>
      </c>
    </row>
    <row r="15" spans="1:21" ht="11.25">
      <c r="A15" s="17" t="s">
        <v>16</v>
      </c>
      <c r="B15" s="23">
        <v>9593</v>
      </c>
      <c r="C15" s="17">
        <v>28</v>
      </c>
      <c r="D15" s="17">
        <v>78</v>
      </c>
      <c r="E15" s="17">
        <f t="shared" si="4"/>
        <v>-50</v>
      </c>
      <c r="F15" s="16">
        <f>39+10908+30+99+11769</f>
        <v>22845</v>
      </c>
      <c r="G15" s="16">
        <f>96+2+173</f>
        <v>271</v>
      </c>
      <c r="H15" s="23">
        <f>150+1+217</f>
        <v>368</v>
      </c>
      <c r="I15" s="16">
        <f t="shared" si="5"/>
        <v>-97</v>
      </c>
      <c r="J15" s="16">
        <f>14775+2694+3523+1202+1353+5044+2577+1331+195+226+579+2636</f>
        <v>36135</v>
      </c>
      <c r="K15" s="16">
        <f>190+15+61+22+16+19+41+14+12+28</f>
        <v>418</v>
      </c>
      <c r="L15" s="16">
        <f>226+33+57+12+18+30+37+16+4+4+39</f>
        <v>476</v>
      </c>
      <c r="M15" s="16">
        <f t="shared" si="6"/>
        <v>-58</v>
      </c>
      <c r="N15" s="16">
        <v>95</v>
      </c>
      <c r="O15" s="16">
        <v>263</v>
      </c>
      <c r="P15" s="16">
        <v>44</v>
      </c>
      <c r="Q15" s="16">
        <f t="shared" si="7"/>
        <v>219</v>
      </c>
      <c r="R15" s="16">
        <f t="shared" si="8"/>
        <v>68668</v>
      </c>
      <c r="S15" s="16">
        <f t="shared" si="8"/>
        <v>980</v>
      </c>
      <c r="T15" s="16">
        <f t="shared" si="8"/>
        <v>966</v>
      </c>
      <c r="U15" s="16">
        <f t="shared" si="8"/>
        <v>14</v>
      </c>
    </row>
    <row r="16" spans="1:21" ht="11.25">
      <c r="A16" s="17" t="s">
        <v>17</v>
      </c>
      <c r="B16" s="23">
        <v>9553</v>
      </c>
      <c r="C16" s="17">
        <v>30</v>
      </c>
      <c r="D16" s="17">
        <v>74</v>
      </c>
      <c r="E16" s="17">
        <f t="shared" si="4"/>
        <v>-44</v>
      </c>
      <c r="F16" s="16">
        <v>22478</v>
      </c>
      <c r="G16" s="16">
        <v>313</v>
      </c>
      <c r="H16" s="23">
        <v>689</v>
      </c>
      <c r="I16" s="16">
        <f t="shared" si="5"/>
        <v>-376</v>
      </c>
      <c r="J16" s="16">
        <v>36007</v>
      </c>
      <c r="K16" s="16">
        <v>459</v>
      </c>
      <c r="L16" s="16">
        <v>808</v>
      </c>
      <c r="M16" s="16">
        <f t="shared" si="6"/>
        <v>-349</v>
      </c>
      <c r="N16" s="16">
        <v>94</v>
      </c>
      <c r="O16" s="16">
        <v>321</v>
      </c>
      <c r="P16" s="16">
        <v>70</v>
      </c>
      <c r="Q16" s="16">
        <f t="shared" si="7"/>
        <v>251</v>
      </c>
      <c r="R16" s="16">
        <f t="shared" si="8"/>
        <v>68132</v>
      </c>
      <c r="S16" s="16">
        <f t="shared" si="8"/>
        <v>1123</v>
      </c>
      <c r="T16" s="16">
        <f t="shared" si="8"/>
        <v>1641</v>
      </c>
      <c r="U16" s="16">
        <f t="shared" si="8"/>
        <v>-518</v>
      </c>
    </row>
    <row r="17" spans="1:21" ht="11.25">
      <c r="A17" s="17" t="s">
        <v>85</v>
      </c>
      <c r="B17" s="23">
        <v>9355</v>
      </c>
      <c r="C17" s="17">
        <v>98</v>
      </c>
      <c r="D17" s="17">
        <v>312</v>
      </c>
      <c r="E17" s="17">
        <f t="shared" si="4"/>
        <v>-214</v>
      </c>
      <c r="F17" s="16">
        <v>22063</v>
      </c>
      <c r="G17" s="16">
        <v>384</v>
      </c>
      <c r="H17" s="23">
        <v>862</v>
      </c>
      <c r="I17" s="16">
        <f t="shared" si="5"/>
        <v>-478</v>
      </c>
      <c r="J17" s="16">
        <v>35896</v>
      </c>
      <c r="K17" s="16">
        <v>666</v>
      </c>
      <c r="L17" s="16">
        <v>1130</v>
      </c>
      <c r="M17" s="16">
        <f t="shared" si="6"/>
        <v>-464</v>
      </c>
      <c r="N17" s="16">
        <v>86</v>
      </c>
      <c r="O17" s="16">
        <v>358</v>
      </c>
      <c r="P17" s="16">
        <v>79</v>
      </c>
      <c r="Q17" s="16">
        <f t="shared" si="7"/>
        <v>279</v>
      </c>
      <c r="R17" s="16">
        <f t="shared" si="8"/>
        <v>67400</v>
      </c>
      <c r="S17" s="16">
        <f t="shared" si="8"/>
        <v>1506</v>
      </c>
      <c r="T17" s="16">
        <f t="shared" si="8"/>
        <v>2383</v>
      </c>
      <c r="U17" s="16">
        <f t="shared" si="8"/>
        <v>-877</v>
      </c>
    </row>
    <row r="18" spans="1:21" ht="11.25">
      <c r="A18" s="17" t="s">
        <v>15</v>
      </c>
      <c r="B18" s="23">
        <v>9359</v>
      </c>
      <c r="C18" s="17">
        <v>50</v>
      </c>
      <c r="D18" s="17">
        <v>51</v>
      </c>
      <c r="E18" s="17">
        <f t="shared" si="4"/>
        <v>-1</v>
      </c>
      <c r="F18" s="16">
        <v>22148</v>
      </c>
      <c r="G18" s="16">
        <v>411</v>
      </c>
      <c r="H18" s="23">
        <v>351</v>
      </c>
      <c r="I18" s="16">
        <f t="shared" si="5"/>
        <v>60</v>
      </c>
      <c r="J18" s="16">
        <v>36222</v>
      </c>
      <c r="K18" s="16">
        <v>491</v>
      </c>
      <c r="L18" s="16">
        <v>362</v>
      </c>
      <c r="M18" s="16">
        <f t="shared" si="6"/>
        <v>129</v>
      </c>
      <c r="N18" s="16">
        <v>114</v>
      </c>
      <c r="O18" s="16">
        <v>522</v>
      </c>
      <c r="P18" s="16">
        <v>20</v>
      </c>
      <c r="Q18" s="16">
        <f t="shared" si="7"/>
        <v>502</v>
      </c>
      <c r="R18" s="16">
        <f t="shared" si="8"/>
        <v>67843</v>
      </c>
      <c r="S18" s="16">
        <f t="shared" si="8"/>
        <v>1474</v>
      </c>
      <c r="T18" s="16">
        <f t="shared" si="8"/>
        <v>784</v>
      </c>
      <c r="U18" s="16">
        <f t="shared" si="8"/>
        <v>690</v>
      </c>
    </row>
    <row r="19" spans="1:21" ht="11.25">
      <c r="A19" s="17" t="s">
        <v>16</v>
      </c>
      <c r="B19" s="23">
        <v>9347</v>
      </c>
      <c r="C19" s="17">
        <v>32</v>
      </c>
      <c r="D19" s="17">
        <v>49</v>
      </c>
      <c r="E19" s="17">
        <f t="shared" si="4"/>
        <v>-17</v>
      </c>
      <c r="F19" s="16">
        <v>22203</v>
      </c>
      <c r="G19" s="16">
        <v>313</v>
      </c>
      <c r="H19" s="23">
        <v>318</v>
      </c>
      <c r="I19" s="16">
        <f t="shared" si="5"/>
        <v>-5</v>
      </c>
      <c r="J19" s="16">
        <v>36404</v>
      </c>
      <c r="K19" s="16">
        <v>435</v>
      </c>
      <c r="L19" s="16">
        <v>478</v>
      </c>
      <c r="M19" s="16">
        <f t="shared" si="6"/>
        <v>-43</v>
      </c>
      <c r="N19" s="16">
        <v>116</v>
      </c>
      <c r="O19" s="16">
        <v>343</v>
      </c>
      <c r="P19" s="16">
        <v>23</v>
      </c>
      <c r="Q19" s="16">
        <f t="shared" si="7"/>
        <v>320</v>
      </c>
      <c r="R19" s="16">
        <f t="shared" si="8"/>
        <v>68070</v>
      </c>
      <c r="S19" s="16">
        <f t="shared" si="8"/>
        <v>1123</v>
      </c>
      <c r="T19" s="16">
        <f t="shared" si="8"/>
        <v>868</v>
      </c>
      <c r="U19" s="16">
        <f t="shared" si="8"/>
        <v>255</v>
      </c>
    </row>
    <row r="20" spans="1:21" ht="11.25">
      <c r="A20" s="17" t="s">
        <v>17</v>
      </c>
      <c r="B20" s="23">
        <v>9298</v>
      </c>
      <c r="C20" s="17">
        <v>31</v>
      </c>
      <c r="D20" s="17">
        <v>92</v>
      </c>
      <c r="E20" s="17">
        <f t="shared" si="4"/>
        <v>-61</v>
      </c>
      <c r="F20" s="16">
        <f>43+10521+45+94+11416</f>
        <v>22119</v>
      </c>
      <c r="G20" s="16">
        <f>106+3+1+134</f>
        <v>244</v>
      </c>
      <c r="H20" s="23">
        <f>186+1+216</f>
        <v>403</v>
      </c>
      <c r="I20" s="16">
        <f t="shared" si="5"/>
        <v>-159</v>
      </c>
      <c r="J20" s="16">
        <f>14897+2605+3602+1215+1356+5074+2634+1349+196+235+583+2672</f>
        <v>36418</v>
      </c>
      <c r="K20" s="16">
        <f>198+12+50+14+16+21+41+17+1+1+6+20</f>
        <v>397</v>
      </c>
      <c r="L20" s="16">
        <f>273+41+85+33+24+66+60+35+2+2+8+31</f>
        <v>660</v>
      </c>
      <c r="M20" s="16">
        <f t="shared" si="6"/>
        <v>-263</v>
      </c>
      <c r="N20" s="16">
        <v>41</v>
      </c>
      <c r="O20" s="16">
        <v>414</v>
      </c>
      <c r="P20" s="16">
        <v>66</v>
      </c>
      <c r="Q20" s="16">
        <f t="shared" si="7"/>
        <v>348</v>
      </c>
      <c r="R20" s="16">
        <f t="shared" si="8"/>
        <v>67876</v>
      </c>
      <c r="S20" s="16">
        <f t="shared" si="8"/>
        <v>1086</v>
      </c>
      <c r="T20" s="16">
        <f t="shared" si="8"/>
        <v>1221</v>
      </c>
      <c r="U20" s="16">
        <f t="shared" si="8"/>
        <v>-135</v>
      </c>
    </row>
    <row r="21" spans="1:21" ht="11.25">
      <c r="A21" s="17" t="s">
        <v>87</v>
      </c>
      <c r="B21" s="23">
        <v>9230</v>
      </c>
      <c r="C21" s="17">
        <v>108</v>
      </c>
      <c r="D21" s="17">
        <v>196</v>
      </c>
      <c r="E21" s="17">
        <f t="shared" si="4"/>
        <v>-88</v>
      </c>
      <c r="F21" s="16">
        <v>22057</v>
      </c>
      <c r="G21" s="16">
        <v>511</v>
      </c>
      <c r="H21" s="23">
        <v>681</v>
      </c>
      <c r="I21" s="16">
        <f t="shared" si="5"/>
        <v>-170</v>
      </c>
      <c r="J21" s="16">
        <v>36521</v>
      </c>
      <c r="K21" s="16">
        <v>705</v>
      </c>
      <c r="L21" s="16">
        <v>873</v>
      </c>
      <c r="M21" s="16">
        <f t="shared" si="6"/>
        <v>-168</v>
      </c>
      <c r="N21" s="16">
        <v>23</v>
      </c>
      <c r="O21" s="16">
        <v>452</v>
      </c>
      <c r="P21" s="16">
        <v>71</v>
      </c>
      <c r="Q21" s="16">
        <f t="shared" si="7"/>
        <v>381</v>
      </c>
      <c r="R21" s="16">
        <f t="shared" si="8"/>
        <v>67831</v>
      </c>
      <c r="S21" s="16">
        <f t="shared" si="8"/>
        <v>1776</v>
      </c>
      <c r="T21" s="16">
        <f t="shared" si="8"/>
        <v>1821</v>
      </c>
      <c r="U21" s="16">
        <f t="shared" si="8"/>
        <v>-45</v>
      </c>
    </row>
    <row r="22" spans="1:21" ht="11.25">
      <c r="A22" s="17" t="s">
        <v>15</v>
      </c>
      <c r="B22" s="23">
        <v>9240</v>
      </c>
      <c r="C22" s="17">
        <v>55</v>
      </c>
      <c r="D22" s="17">
        <v>60</v>
      </c>
      <c r="E22" s="17">
        <f t="shared" si="4"/>
        <v>-5</v>
      </c>
      <c r="F22" s="16">
        <v>22168</v>
      </c>
      <c r="G22" s="16">
        <v>343</v>
      </c>
      <c r="H22" s="23">
        <v>262</v>
      </c>
      <c r="I22" s="16">
        <f t="shared" si="5"/>
        <v>81</v>
      </c>
      <c r="J22" s="16">
        <v>36798</v>
      </c>
      <c r="K22" s="16">
        <v>422</v>
      </c>
      <c r="L22" s="16">
        <v>350</v>
      </c>
      <c r="M22" s="16">
        <f t="shared" si="6"/>
        <v>72</v>
      </c>
      <c r="N22" s="16">
        <v>41</v>
      </c>
      <c r="O22" s="16">
        <v>389</v>
      </c>
      <c r="P22" s="16">
        <v>22</v>
      </c>
      <c r="Q22" s="16">
        <f t="shared" si="7"/>
        <v>367</v>
      </c>
      <c r="R22" s="16">
        <f t="shared" si="8"/>
        <v>68247</v>
      </c>
      <c r="S22" s="16">
        <f t="shared" si="8"/>
        <v>1209</v>
      </c>
      <c r="T22" s="16">
        <f t="shared" si="8"/>
        <v>694</v>
      </c>
      <c r="U22" s="16">
        <f t="shared" si="8"/>
        <v>515</v>
      </c>
    </row>
    <row r="23" spans="1:21" ht="11.25">
      <c r="A23" s="17" t="s">
        <v>16</v>
      </c>
      <c r="B23" s="23">
        <v>9243</v>
      </c>
      <c r="C23" s="17">
        <v>48</v>
      </c>
      <c r="D23" s="17">
        <v>54</v>
      </c>
      <c r="E23" s="17">
        <f t="shared" si="4"/>
        <v>-6</v>
      </c>
      <c r="F23" s="16">
        <v>22259</v>
      </c>
      <c r="G23" s="16">
        <v>276</v>
      </c>
      <c r="H23" s="23">
        <v>237</v>
      </c>
      <c r="I23" s="16">
        <f t="shared" si="5"/>
        <v>39</v>
      </c>
      <c r="J23" s="16">
        <v>36910</v>
      </c>
      <c r="K23" s="16">
        <v>329</v>
      </c>
      <c r="L23" s="16">
        <v>393</v>
      </c>
      <c r="M23" s="16">
        <f t="shared" si="6"/>
        <v>-64</v>
      </c>
      <c r="N23" s="16">
        <v>33</v>
      </c>
      <c r="O23" s="16">
        <v>322</v>
      </c>
      <c r="P23" s="16">
        <v>30</v>
      </c>
      <c r="Q23" s="16">
        <f t="shared" si="7"/>
        <v>292</v>
      </c>
      <c r="R23" s="16">
        <f t="shared" si="8"/>
        <v>68445</v>
      </c>
      <c r="S23" s="16">
        <f t="shared" si="8"/>
        <v>975</v>
      </c>
      <c r="T23" s="16">
        <f t="shared" si="8"/>
        <v>714</v>
      </c>
      <c r="U23" s="16">
        <f t="shared" si="8"/>
        <v>261</v>
      </c>
    </row>
    <row r="24" spans="1:21" ht="11.25">
      <c r="A24" s="17" t="s">
        <v>17</v>
      </c>
      <c r="B24" s="23">
        <v>9222</v>
      </c>
      <c r="C24" s="17">
        <v>33</v>
      </c>
      <c r="D24" s="17">
        <v>63</v>
      </c>
      <c r="E24" s="17">
        <f t="shared" si="4"/>
        <v>-30</v>
      </c>
      <c r="F24" s="16">
        <v>22115</v>
      </c>
      <c r="G24" s="16">
        <v>229</v>
      </c>
      <c r="H24" s="23">
        <v>380</v>
      </c>
      <c r="I24" s="16">
        <f t="shared" si="5"/>
        <v>-151</v>
      </c>
      <c r="J24" s="16">
        <v>36917</v>
      </c>
      <c r="K24" s="16">
        <v>355</v>
      </c>
      <c r="L24" s="16">
        <v>601</v>
      </c>
      <c r="M24" s="16">
        <f t="shared" si="6"/>
        <v>-246</v>
      </c>
      <c r="N24" s="16">
        <v>42</v>
      </c>
      <c r="O24" s="16">
        <v>337</v>
      </c>
      <c r="P24" s="16">
        <v>56</v>
      </c>
      <c r="Q24" s="16">
        <f t="shared" si="7"/>
        <v>281</v>
      </c>
      <c r="R24" s="16">
        <f aca="true" t="shared" si="9" ref="R24:U28">F24+J24+N24+B24</f>
        <v>68296</v>
      </c>
      <c r="S24" s="16">
        <f t="shared" si="9"/>
        <v>954</v>
      </c>
      <c r="T24" s="16">
        <f t="shared" si="9"/>
        <v>1100</v>
      </c>
      <c r="U24" s="16">
        <f t="shared" si="9"/>
        <v>-146</v>
      </c>
    </row>
    <row r="25" spans="1:21" ht="11.25">
      <c r="A25" s="17" t="s">
        <v>90</v>
      </c>
      <c r="B25" s="23">
        <v>9133</v>
      </c>
      <c r="C25" s="17">
        <v>99</v>
      </c>
      <c r="D25" s="17">
        <v>198</v>
      </c>
      <c r="E25" s="17">
        <f t="shared" si="4"/>
        <v>-99</v>
      </c>
      <c r="F25" s="16">
        <v>21796</v>
      </c>
      <c r="G25" s="16">
        <v>421</v>
      </c>
      <c r="H25" s="23">
        <v>751</v>
      </c>
      <c r="I25" s="16">
        <f t="shared" si="5"/>
        <v>-330</v>
      </c>
      <c r="J25" s="16">
        <v>36751</v>
      </c>
      <c r="K25" s="16">
        <v>641</v>
      </c>
      <c r="L25" s="16">
        <v>1119</v>
      </c>
      <c r="M25" s="16">
        <f t="shared" si="6"/>
        <v>-478</v>
      </c>
      <c r="N25" s="16">
        <v>64</v>
      </c>
      <c r="O25" s="16">
        <v>482</v>
      </c>
      <c r="P25" s="16">
        <v>92</v>
      </c>
      <c r="Q25" s="16">
        <f t="shared" si="7"/>
        <v>390</v>
      </c>
      <c r="R25" s="16">
        <f t="shared" si="9"/>
        <v>67744</v>
      </c>
      <c r="S25" s="16">
        <f t="shared" si="9"/>
        <v>1643</v>
      </c>
      <c r="T25" s="16">
        <f t="shared" si="9"/>
        <v>2160</v>
      </c>
      <c r="U25" s="16">
        <f t="shared" si="9"/>
        <v>-517</v>
      </c>
    </row>
    <row r="26" spans="1:21" ht="11.25">
      <c r="A26" s="17" t="s">
        <v>15</v>
      </c>
      <c r="B26" s="23">
        <v>9158</v>
      </c>
      <c r="C26" s="17">
        <v>78</v>
      </c>
      <c r="D26" s="17">
        <v>61</v>
      </c>
      <c r="E26" s="17">
        <f t="shared" si="4"/>
        <v>17</v>
      </c>
      <c r="F26" s="16">
        <v>21850</v>
      </c>
      <c r="G26" s="16">
        <v>310</v>
      </c>
      <c r="H26" s="23">
        <v>272</v>
      </c>
      <c r="I26" s="16">
        <f t="shared" si="5"/>
        <v>38</v>
      </c>
      <c r="J26" s="16">
        <v>36970</v>
      </c>
      <c r="K26" s="16">
        <v>449</v>
      </c>
      <c r="L26" s="16">
        <v>481</v>
      </c>
      <c r="M26" s="16">
        <f t="shared" si="6"/>
        <v>-32</v>
      </c>
      <c r="N26" s="16">
        <v>65</v>
      </c>
      <c r="O26" s="16">
        <v>360</v>
      </c>
      <c r="P26" s="16">
        <v>32</v>
      </c>
      <c r="Q26" s="16">
        <f t="shared" si="7"/>
        <v>328</v>
      </c>
      <c r="R26" s="16">
        <f t="shared" si="9"/>
        <v>68043</v>
      </c>
      <c r="S26" s="16">
        <f t="shared" si="9"/>
        <v>1197</v>
      </c>
      <c r="T26" s="16">
        <f t="shared" si="9"/>
        <v>846</v>
      </c>
      <c r="U26" s="16">
        <f t="shared" si="9"/>
        <v>351</v>
      </c>
    </row>
    <row r="27" spans="1:21" ht="11.25">
      <c r="A27" s="17" t="s">
        <v>16</v>
      </c>
      <c r="B27" s="23">
        <v>9144</v>
      </c>
      <c r="C27" s="17">
        <v>37</v>
      </c>
      <c r="D27" s="17">
        <v>56</v>
      </c>
      <c r="E27" s="17">
        <f t="shared" si="4"/>
        <v>-19</v>
      </c>
      <c r="F27" s="16">
        <v>21889</v>
      </c>
      <c r="G27" s="16">
        <v>266</v>
      </c>
      <c r="H27" s="23">
        <v>254</v>
      </c>
      <c r="I27" s="16">
        <f t="shared" si="5"/>
        <v>12</v>
      </c>
      <c r="J27" s="16">
        <v>36992</v>
      </c>
      <c r="K27" s="16">
        <v>290</v>
      </c>
      <c r="L27" s="16">
        <v>365</v>
      </c>
      <c r="M27" s="16">
        <f t="shared" si="6"/>
        <v>-75</v>
      </c>
      <c r="N27" s="16">
        <v>71</v>
      </c>
      <c r="O27" s="16">
        <v>318</v>
      </c>
      <c r="P27" s="16">
        <v>31</v>
      </c>
      <c r="Q27" s="16">
        <f t="shared" si="7"/>
        <v>287</v>
      </c>
      <c r="R27" s="16">
        <f aca="true" t="shared" si="10" ref="R27:T30">F27+J27+N27+B27</f>
        <v>68096</v>
      </c>
      <c r="S27" s="16">
        <f t="shared" si="10"/>
        <v>911</v>
      </c>
      <c r="T27" s="16">
        <f t="shared" si="10"/>
        <v>706</v>
      </c>
      <c r="U27" s="16">
        <f t="shared" si="9"/>
        <v>205</v>
      </c>
    </row>
    <row r="28" spans="1:21" ht="11.25">
      <c r="A28" s="17" t="s">
        <v>17</v>
      </c>
      <c r="B28" s="23">
        <v>9112</v>
      </c>
      <c r="C28" s="17">
        <v>34</v>
      </c>
      <c r="D28" s="17">
        <v>63</v>
      </c>
      <c r="E28" s="17">
        <f t="shared" si="4"/>
        <v>-29</v>
      </c>
      <c r="F28" s="16">
        <v>21751</v>
      </c>
      <c r="G28" s="16">
        <v>214</v>
      </c>
      <c r="H28" s="23">
        <v>378</v>
      </c>
      <c r="I28" s="16">
        <f t="shared" si="5"/>
        <v>-164</v>
      </c>
      <c r="J28" s="16">
        <v>36875</v>
      </c>
      <c r="K28" s="16">
        <v>331</v>
      </c>
      <c r="L28" s="16">
        <v>642</v>
      </c>
      <c r="M28" s="16">
        <f t="shared" si="6"/>
        <v>-311</v>
      </c>
      <c r="N28" s="16">
        <v>50</v>
      </c>
      <c r="O28" s="16">
        <v>377</v>
      </c>
      <c r="P28" s="16">
        <v>67</v>
      </c>
      <c r="Q28" s="16">
        <f t="shared" si="7"/>
        <v>310</v>
      </c>
      <c r="R28" s="16">
        <f t="shared" si="10"/>
        <v>67788</v>
      </c>
      <c r="S28" s="16">
        <f t="shared" si="10"/>
        <v>956</v>
      </c>
      <c r="T28" s="16">
        <f t="shared" si="10"/>
        <v>1150</v>
      </c>
      <c r="U28" s="16">
        <f t="shared" si="9"/>
        <v>-194</v>
      </c>
    </row>
    <row r="29" spans="1:21" ht="11.25">
      <c r="A29" s="17" t="s">
        <v>92</v>
      </c>
      <c r="B29" s="23">
        <v>8949</v>
      </c>
      <c r="C29" s="17">
        <v>94</v>
      </c>
      <c r="D29" s="17">
        <v>273</v>
      </c>
      <c r="E29" s="17">
        <f aca="true" t="shared" si="11" ref="E29:E36">C29-D29</f>
        <v>-179</v>
      </c>
      <c r="F29" s="16">
        <v>21522</v>
      </c>
      <c r="G29" s="16">
        <v>452</v>
      </c>
      <c r="H29" s="23">
        <v>732</v>
      </c>
      <c r="I29" s="16">
        <f aca="true" t="shared" si="12" ref="I29:I36">G29-H29</f>
        <v>-280</v>
      </c>
      <c r="J29" s="16">
        <v>36806</v>
      </c>
      <c r="K29" s="16">
        <v>724</v>
      </c>
      <c r="L29" s="16">
        <v>1099</v>
      </c>
      <c r="M29" s="16">
        <f aca="true" t="shared" si="13" ref="M29:M36">K29-L29</f>
        <v>-375</v>
      </c>
      <c r="N29" s="16">
        <v>84</v>
      </c>
      <c r="O29" s="16">
        <v>461</v>
      </c>
      <c r="P29" s="16">
        <v>73</v>
      </c>
      <c r="Q29" s="16">
        <f aca="true" t="shared" si="14" ref="Q29:Q36">O29-P29</f>
        <v>388</v>
      </c>
      <c r="R29" s="16">
        <f t="shared" si="10"/>
        <v>67361</v>
      </c>
      <c r="S29" s="16">
        <f t="shared" si="10"/>
        <v>1731</v>
      </c>
      <c r="T29" s="16">
        <f t="shared" si="10"/>
        <v>2177</v>
      </c>
      <c r="U29" s="16">
        <f aca="true" t="shared" si="15" ref="U29:U36">I29+M29+Q29+E29</f>
        <v>-446</v>
      </c>
    </row>
    <row r="30" spans="1:21" ht="11.25">
      <c r="A30" s="17" t="s">
        <v>15</v>
      </c>
      <c r="B30" s="23">
        <v>8819</v>
      </c>
      <c r="C30" s="17">
        <v>59</v>
      </c>
      <c r="D30" s="17">
        <v>192</v>
      </c>
      <c r="E30" s="17">
        <f t="shared" si="11"/>
        <v>-133</v>
      </c>
      <c r="F30" s="16">
        <v>21582</v>
      </c>
      <c r="G30" s="16">
        <v>335</v>
      </c>
      <c r="H30" s="23">
        <v>285</v>
      </c>
      <c r="I30" s="16">
        <f t="shared" si="12"/>
        <v>50</v>
      </c>
      <c r="J30" s="16">
        <v>37080</v>
      </c>
      <c r="K30" s="16">
        <v>496</v>
      </c>
      <c r="L30" s="16">
        <v>447</v>
      </c>
      <c r="M30" s="16">
        <f t="shared" si="13"/>
        <v>49</v>
      </c>
      <c r="N30" s="16">
        <v>80</v>
      </c>
      <c r="O30" s="16">
        <v>351</v>
      </c>
      <c r="P30" s="16">
        <v>39</v>
      </c>
      <c r="Q30" s="16">
        <f t="shared" si="14"/>
        <v>312</v>
      </c>
      <c r="R30" s="16">
        <f t="shared" si="10"/>
        <v>67561</v>
      </c>
      <c r="S30" s="16">
        <f t="shared" si="10"/>
        <v>1241</v>
      </c>
      <c r="T30" s="16">
        <f t="shared" si="10"/>
        <v>963</v>
      </c>
      <c r="U30" s="16">
        <f t="shared" si="15"/>
        <v>278</v>
      </c>
    </row>
    <row r="31" spans="1:21" ht="11.25">
      <c r="A31" s="17" t="s">
        <v>16</v>
      </c>
      <c r="B31" s="23">
        <v>8708</v>
      </c>
      <c r="C31" s="17">
        <v>36</v>
      </c>
      <c r="D31" s="17">
        <v>146</v>
      </c>
      <c r="E31" s="17">
        <f t="shared" si="11"/>
        <v>-110</v>
      </c>
      <c r="F31" s="16">
        <v>21562</v>
      </c>
      <c r="G31" s="16">
        <v>223</v>
      </c>
      <c r="H31" s="23">
        <v>230</v>
      </c>
      <c r="I31" s="16">
        <f t="shared" si="12"/>
        <v>-7</v>
      </c>
      <c r="J31" s="16">
        <v>37142</v>
      </c>
      <c r="K31" s="16">
        <v>378</v>
      </c>
      <c r="L31" s="16">
        <v>411</v>
      </c>
      <c r="M31" s="16">
        <f t="shared" si="13"/>
        <v>-33</v>
      </c>
      <c r="N31" s="16">
        <v>76</v>
      </c>
      <c r="O31" s="16">
        <v>283</v>
      </c>
      <c r="P31" s="16">
        <v>19</v>
      </c>
      <c r="Q31" s="16">
        <f t="shared" si="14"/>
        <v>264</v>
      </c>
      <c r="R31" s="16">
        <f aca="true" t="shared" si="16" ref="R31:T34">F31+J31+N31+B31</f>
        <v>67488</v>
      </c>
      <c r="S31" s="16">
        <f t="shared" si="16"/>
        <v>920</v>
      </c>
      <c r="T31" s="16">
        <f t="shared" si="16"/>
        <v>806</v>
      </c>
      <c r="U31" s="16">
        <f t="shared" si="15"/>
        <v>114</v>
      </c>
    </row>
    <row r="32" spans="1:21" ht="11.25">
      <c r="A32" s="17" t="s">
        <v>17</v>
      </c>
      <c r="B32" s="23">
        <v>8674</v>
      </c>
      <c r="C32" s="17">
        <v>40</v>
      </c>
      <c r="D32" s="17">
        <v>72</v>
      </c>
      <c r="E32" s="17">
        <f t="shared" si="11"/>
        <v>-32</v>
      </c>
      <c r="F32" s="16">
        <v>21373</v>
      </c>
      <c r="G32" s="16">
        <v>220</v>
      </c>
      <c r="H32" s="23">
        <v>389</v>
      </c>
      <c r="I32" s="16">
        <f t="shared" si="12"/>
        <v>-169</v>
      </c>
      <c r="J32" s="16">
        <v>37086</v>
      </c>
      <c r="K32" s="16">
        <v>452</v>
      </c>
      <c r="L32" s="16">
        <v>741</v>
      </c>
      <c r="M32" s="16">
        <f t="shared" si="13"/>
        <v>-289</v>
      </c>
      <c r="N32" s="16">
        <v>57</v>
      </c>
      <c r="O32" s="16">
        <v>357</v>
      </c>
      <c r="P32" s="16">
        <v>61</v>
      </c>
      <c r="Q32" s="16">
        <f t="shared" si="14"/>
        <v>296</v>
      </c>
      <c r="R32" s="16">
        <f t="shared" si="16"/>
        <v>67190</v>
      </c>
      <c r="S32" s="16">
        <f t="shared" si="16"/>
        <v>1069</v>
      </c>
      <c r="T32" s="16">
        <f t="shared" si="16"/>
        <v>1263</v>
      </c>
      <c r="U32" s="16">
        <f t="shared" si="15"/>
        <v>-194</v>
      </c>
    </row>
    <row r="33" spans="1:21" ht="11.25">
      <c r="A33" s="17" t="s">
        <v>93</v>
      </c>
      <c r="B33" s="23">
        <v>8545</v>
      </c>
      <c r="C33" s="17">
        <v>85</v>
      </c>
      <c r="D33" s="17">
        <v>225</v>
      </c>
      <c r="E33" s="17">
        <f t="shared" si="11"/>
        <v>-140</v>
      </c>
      <c r="F33" s="16">
        <v>21192</v>
      </c>
      <c r="G33" s="16">
        <v>331</v>
      </c>
      <c r="H33" s="23">
        <v>623</v>
      </c>
      <c r="I33" s="16">
        <f t="shared" si="12"/>
        <v>-292</v>
      </c>
      <c r="J33" s="16">
        <v>37009</v>
      </c>
      <c r="K33" s="16">
        <v>623</v>
      </c>
      <c r="L33" s="16">
        <v>1096</v>
      </c>
      <c r="M33" s="16">
        <f t="shared" si="13"/>
        <v>-473</v>
      </c>
      <c r="N33" s="16">
        <v>72</v>
      </c>
      <c r="O33" s="16">
        <v>407</v>
      </c>
      <c r="P33" s="16">
        <v>110</v>
      </c>
      <c r="Q33" s="16">
        <f t="shared" si="14"/>
        <v>297</v>
      </c>
      <c r="R33" s="16">
        <f t="shared" si="16"/>
        <v>66818</v>
      </c>
      <c r="S33" s="16">
        <f t="shared" si="16"/>
        <v>1446</v>
      </c>
      <c r="T33" s="16">
        <f t="shared" si="16"/>
        <v>2054</v>
      </c>
      <c r="U33" s="16">
        <f t="shared" si="15"/>
        <v>-608</v>
      </c>
    </row>
    <row r="34" spans="1:21" ht="11.25">
      <c r="A34" s="17" t="s">
        <v>15</v>
      </c>
      <c r="B34" s="23">
        <v>8560</v>
      </c>
      <c r="C34" s="17">
        <v>57</v>
      </c>
      <c r="D34" s="17">
        <v>50</v>
      </c>
      <c r="E34" s="17">
        <f t="shared" si="11"/>
        <v>7</v>
      </c>
      <c r="F34" s="16">
        <v>21227</v>
      </c>
      <c r="G34" s="16">
        <v>292</v>
      </c>
      <c r="H34" s="23">
        <v>249</v>
      </c>
      <c r="I34" s="16">
        <f t="shared" si="12"/>
        <v>43</v>
      </c>
      <c r="J34" s="16">
        <v>37072</v>
      </c>
      <c r="K34" s="16">
        <v>412</v>
      </c>
      <c r="L34" s="16">
        <v>460</v>
      </c>
      <c r="M34" s="16">
        <f t="shared" si="13"/>
        <v>-48</v>
      </c>
      <c r="N34" s="16">
        <v>26</v>
      </c>
      <c r="O34" s="16">
        <v>366</v>
      </c>
      <c r="P34" s="16">
        <v>20</v>
      </c>
      <c r="Q34" s="16">
        <f t="shared" si="14"/>
        <v>346</v>
      </c>
      <c r="R34" s="16">
        <f t="shared" si="16"/>
        <v>66885</v>
      </c>
      <c r="S34" s="16">
        <f t="shared" si="16"/>
        <v>1127</v>
      </c>
      <c r="T34" s="16">
        <f t="shared" si="16"/>
        <v>779</v>
      </c>
      <c r="U34" s="16">
        <f t="shared" si="15"/>
        <v>348</v>
      </c>
    </row>
    <row r="35" spans="1:21" ht="11.25">
      <c r="A35" s="17" t="s">
        <v>16</v>
      </c>
      <c r="B35" s="23">
        <v>8542</v>
      </c>
      <c r="C35" s="17">
        <v>22</v>
      </c>
      <c r="D35" s="17">
        <v>46</v>
      </c>
      <c r="E35" s="17">
        <f t="shared" si="11"/>
        <v>-24</v>
      </c>
      <c r="F35" s="16">
        <v>21229</v>
      </c>
      <c r="G35" s="16">
        <v>215</v>
      </c>
      <c r="H35" s="23">
        <v>253</v>
      </c>
      <c r="I35" s="16">
        <f t="shared" si="12"/>
        <v>-38</v>
      </c>
      <c r="J35" s="16">
        <v>37091</v>
      </c>
      <c r="K35" s="16">
        <v>349</v>
      </c>
      <c r="L35" s="16">
        <v>448</v>
      </c>
      <c r="M35" s="16">
        <f t="shared" si="13"/>
        <v>-99</v>
      </c>
      <c r="N35" s="16">
        <v>14</v>
      </c>
      <c r="O35" s="16">
        <v>236</v>
      </c>
      <c r="P35" s="16">
        <v>29</v>
      </c>
      <c r="Q35" s="16">
        <f t="shared" si="14"/>
        <v>207</v>
      </c>
      <c r="R35" s="16">
        <f aca="true" t="shared" si="17" ref="R35:T38">F35+J35+N35+B35</f>
        <v>66876</v>
      </c>
      <c r="S35" s="16">
        <f t="shared" si="17"/>
        <v>822</v>
      </c>
      <c r="T35" s="16">
        <f t="shared" si="17"/>
        <v>776</v>
      </c>
      <c r="U35" s="16">
        <f t="shared" si="15"/>
        <v>46</v>
      </c>
    </row>
    <row r="36" spans="1:21" ht="11.25">
      <c r="A36" s="17" t="s">
        <v>17</v>
      </c>
      <c r="B36" s="23">
        <v>8468</v>
      </c>
      <c r="C36" s="17">
        <v>29</v>
      </c>
      <c r="D36" s="17">
        <v>103</v>
      </c>
      <c r="E36" s="17">
        <f t="shared" si="11"/>
        <v>-74</v>
      </c>
      <c r="F36" s="16">
        <v>21090</v>
      </c>
      <c r="G36" s="16">
        <v>186</v>
      </c>
      <c r="H36" s="23">
        <v>371</v>
      </c>
      <c r="I36" s="16">
        <f t="shared" si="12"/>
        <v>-185</v>
      </c>
      <c r="J36" s="16">
        <v>36989</v>
      </c>
      <c r="K36" s="16">
        <v>464</v>
      </c>
      <c r="L36" s="16">
        <v>742</v>
      </c>
      <c r="M36" s="16">
        <f t="shared" si="13"/>
        <v>-278</v>
      </c>
      <c r="N36" s="16">
        <v>29</v>
      </c>
      <c r="O36" s="16">
        <v>335</v>
      </c>
      <c r="P36" s="16">
        <v>54</v>
      </c>
      <c r="Q36" s="16">
        <f t="shared" si="14"/>
        <v>281</v>
      </c>
      <c r="R36" s="16">
        <f t="shared" si="17"/>
        <v>66576</v>
      </c>
      <c r="S36" s="16">
        <f t="shared" si="17"/>
        <v>1014</v>
      </c>
      <c r="T36" s="16">
        <f t="shared" si="17"/>
        <v>1270</v>
      </c>
      <c r="U36" s="16">
        <f t="shared" si="15"/>
        <v>-256</v>
      </c>
    </row>
    <row r="37" spans="1:21" ht="11.25">
      <c r="A37" s="17" t="s">
        <v>97</v>
      </c>
      <c r="B37" s="23">
        <v>8392</v>
      </c>
      <c r="C37" s="17">
        <v>94</v>
      </c>
      <c r="D37" s="17">
        <v>179</v>
      </c>
      <c r="E37" s="17">
        <f>C37-D37</f>
        <v>-85</v>
      </c>
      <c r="F37" s="16">
        <v>20948</v>
      </c>
      <c r="G37" s="16">
        <v>364</v>
      </c>
      <c r="H37" s="23">
        <v>545</v>
      </c>
      <c r="I37" s="16">
        <f>G37-H37</f>
        <v>-181</v>
      </c>
      <c r="J37" s="16">
        <v>37010</v>
      </c>
      <c r="K37" s="16">
        <v>636</v>
      </c>
      <c r="L37" s="16">
        <v>939</v>
      </c>
      <c r="M37" s="16">
        <f>K37-L37</f>
        <v>-303</v>
      </c>
      <c r="N37" s="16">
        <v>17</v>
      </c>
      <c r="O37" s="16">
        <v>365</v>
      </c>
      <c r="P37" s="16">
        <v>41</v>
      </c>
      <c r="Q37" s="16">
        <f>O37-P37</f>
        <v>324</v>
      </c>
      <c r="R37" s="16">
        <f t="shared" si="17"/>
        <v>66367</v>
      </c>
      <c r="S37" s="16">
        <f t="shared" si="17"/>
        <v>1459</v>
      </c>
      <c r="T37" s="16">
        <f t="shared" si="17"/>
        <v>1704</v>
      </c>
      <c r="U37" s="16">
        <f>I37+M37+Q37+E37</f>
        <v>-245</v>
      </c>
    </row>
    <row r="38" spans="1:21" ht="11.25">
      <c r="A38" s="17" t="s">
        <v>15</v>
      </c>
      <c r="B38" s="23">
        <v>8399</v>
      </c>
      <c r="C38" s="17">
        <v>60</v>
      </c>
      <c r="D38" s="17">
        <v>60</v>
      </c>
      <c r="E38" s="17">
        <f>C38-D38</f>
        <v>0</v>
      </c>
      <c r="F38" s="16">
        <v>21039</v>
      </c>
      <c r="G38" s="16">
        <v>299</v>
      </c>
      <c r="H38" s="23">
        <v>266</v>
      </c>
      <c r="I38" s="16">
        <f>G38-H38</f>
        <v>33</v>
      </c>
      <c r="J38" s="16">
        <v>37263</v>
      </c>
      <c r="K38" s="16">
        <v>472</v>
      </c>
      <c r="L38" s="16">
        <v>375</v>
      </c>
      <c r="M38" s="16">
        <f>K38-L38</f>
        <v>97</v>
      </c>
      <c r="N38" s="16">
        <v>14</v>
      </c>
      <c r="O38" s="16">
        <v>343</v>
      </c>
      <c r="P38" s="16">
        <v>26</v>
      </c>
      <c r="Q38" s="16">
        <f>O38-P38</f>
        <v>317</v>
      </c>
      <c r="R38" s="16">
        <f t="shared" si="17"/>
        <v>66715</v>
      </c>
      <c r="S38" s="16">
        <f t="shared" si="17"/>
        <v>1174</v>
      </c>
      <c r="T38" s="16">
        <f t="shared" si="17"/>
        <v>727</v>
      </c>
      <c r="U38" s="16">
        <f>I38+M38+Q38+E38</f>
        <v>447</v>
      </c>
    </row>
    <row r="39" spans="1:21" ht="11.25">
      <c r="A39" s="17" t="s">
        <v>16</v>
      </c>
      <c r="B39" s="23">
        <v>8368</v>
      </c>
      <c r="C39" s="17">
        <v>27</v>
      </c>
      <c r="D39" s="17">
        <v>57</v>
      </c>
      <c r="E39" s="17">
        <f>C39-D39</f>
        <v>-30</v>
      </c>
      <c r="F39" s="16">
        <v>20974</v>
      </c>
      <c r="G39" s="16">
        <v>170</v>
      </c>
      <c r="H39" s="23">
        <v>244</v>
      </c>
      <c r="I39" s="16">
        <f>G39-H39</f>
        <v>-74</v>
      </c>
      <c r="J39" s="16">
        <v>37334</v>
      </c>
      <c r="K39" s="16">
        <v>375</v>
      </c>
      <c r="L39" s="16">
        <v>413</v>
      </c>
      <c r="M39" s="16">
        <f>K39-L39</f>
        <v>-38</v>
      </c>
      <c r="N39" s="16">
        <v>31</v>
      </c>
      <c r="O39" s="16">
        <v>274</v>
      </c>
      <c r="P39" s="16">
        <v>46</v>
      </c>
      <c r="Q39" s="16">
        <f>O39-P39</f>
        <v>228</v>
      </c>
      <c r="R39" s="16">
        <f aca="true" t="shared" si="18" ref="R39:T40">F39+J39+N39+B39</f>
        <v>66707</v>
      </c>
      <c r="S39" s="16">
        <f t="shared" si="18"/>
        <v>846</v>
      </c>
      <c r="T39" s="16">
        <f t="shared" si="18"/>
        <v>760</v>
      </c>
      <c r="U39" s="16">
        <f>I39+M39+Q39+E39</f>
        <v>86</v>
      </c>
    </row>
    <row r="40" spans="1:21" ht="11.25">
      <c r="A40" s="17" t="s">
        <v>17</v>
      </c>
      <c r="B40" s="23">
        <v>8371</v>
      </c>
      <c r="C40" s="17">
        <v>71</v>
      </c>
      <c r="D40" s="17">
        <v>71</v>
      </c>
      <c r="E40" s="17">
        <f>C40-D40</f>
        <v>0</v>
      </c>
      <c r="F40" s="16">
        <v>20795</v>
      </c>
      <c r="G40" s="16">
        <v>200</v>
      </c>
      <c r="H40" s="23">
        <v>377</v>
      </c>
      <c r="I40" s="16">
        <f>G40-H40</f>
        <v>-177</v>
      </c>
      <c r="J40" s="16">
        <v>37162</v>
      </c>
      <c r="K40" s="16">
        <v>415</v>
      </c>
      <c r="L40" s="16">
        <v>741</v>
      </c>
      <c r="M40" s="16">
        <f>K40-L40</f>
        <v>-326</v>
      </c>
      <c r="N40" s="16">
        <v>20</v>
      </c>
      <c r="O40" s="16">
        <v>345</v>
      </c>
      <c r="P40" s="16">
        <v>54</v>
      </c>
      <c r="Q40" s="16">
        <f>O40-P40</f>
        <v>291</v>
      </c>
      <c r="R40" s="16">
        <f t="shared" si="18"/>
        <v>66348</v>
      </c>
      <c r="S40" s="16">
        <f t="shared" si="18"/>
        <v>1031</v>
      </c>
      <c r="T40" s="16">
        <f t="shared" si="18"/>
        <v>1243</v>
      </c>
      <c r="U40" s="16">
        <f>I40+M40+Q40+E40</f>
        <v>-212</v>
      </c>
    </row>
    <row r="41" spans="1:21" ht="11.25">
      <c r="A41" s="17"/>
      <c r="B41" s="17"/>
      <c r="C41" s="17"/>
      <c r="D41" s="17"/>
      <c r="E41" s="17"/>
      <c r="F41" s="16"/>
      <c r="G41" s="16"/>
      <c r="H41" s="23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 ht="11.25">
      <c r="A42" s="18" t="s">
        <v>32</v>
      </c>
      <c r="S42" s="26"/>
      <c r="T42" s="26"/>
      <c r="U42" s="26"/>
    </row>
    <row r="43" ht="11.25">
      <c r="A43" s="18" t="s">
        <v>95</v>
      </c>
    </row>
    <row r="44" ht="11.25">
      <c r="A44" s="18" t="s">
        <v>34</v>
      </c>
    </row>
    <row r="45" ht="11.25">
      <c r="A45" s="18" t="s">
        <v>35</v>
      </c>
    </row>
    <row r="46" ht="11.25">
      <c r="A46" s="18" t="s">
        <v>75</v>
      </c>
    </row>
    <row r="47" spans="18:20" ht="11.25">
      <c r="R47" s="16"/>
      <c r="S47" s="16"/>
      <c r="T47" s="16"/>
    </row>
    <row r="49" spans="13:15" ht="11.25">
      <c r="M49" s="26"/>
      <c r="O49" s="26"/>
    </row>
  </sheetData>
  <sheetProtection/>
  <printOptions/>
  <pageMargins left="0.3937007874015748" right="0.3937007874015748" top="0.7874015748031497" bottom="0.5905511811023623" header="0.11811023622047245" footer="0.11811023622047245"/>
  <pageSetup fitToHeight="1" fitToWidth="1" horizontalDpi="300" verticalDpi="300" orientation="landscape" paperSize="9" scale="78" r:id="rId2"/>
  <headerFooter alignWithMargins="0">
    <oddFooter>&amp;CRdmov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4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38" sqref="A38"/>
    </sheetView>
  </sheetViews>
  <sheetFormatPr defaultColWidth="9.140625" defaultRowHeight="12.75"/>
  <cols>
    <col min="1" max="1" width="12.421875" style="18" customWidth="1"/>
    <col min="2" max="2" width="9.00390625" style="18" customWidth="1"/>
    <col min="3" max="3" width="9.140625" style="18" customWidth="1"/>
    <col min="4" max="4" width="7.8515625" style="18" customWidth="1"/>
    <col min="5" max="5" width="9.28125" style="18" customWidth="1"/>
    <col min="6" max="7" width="7.8515625" style="18" customWidth="1"/>
    <col min="8" max="8" width="7.7109375" style="18" customWidth="1"/>
    <col min="9" max="9" width="9.140625" style="18" customWidth="1"/>
    <col min="10" max="17" width="7.8515625" style="18" customWidth="1"/>
    <col min="18" max="21" width="7.7109375" style="18" customWidth="1"/>
    <col min="22" max="16384" width="9.140625" style="18" customWidth="1"/>
  </cols>
  <sheetData>
    <row r="1" spans="1:21" ht="21" customHeight="1">
      <c r="A1" s="36" t="s">
        <v>84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8"/>
    </row>
    <row r="2" spans="1:21" ht="11.25">
      <c r="A2" s="39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40"/>
    </row>
    <row r="3" spans="1:21" s="6" customFormat="1" ht="11.25">
      <c r="A3" s="41" t="s">
        <v>0</v>
      </c>
      <c r="B3" s="42" t="s">
        <v>63</v>
      </c>
      <c r="C3" s="43"/>
      <c r="D3" s="43"/>
      <c r="E3" s="44"/>
      <c r="F3" s="42" t="s">
        <v>64</v>
      </c>
      <c r="G3" s="43"/>
      <c r="H3" s="45"/>
      <c r="I3" s="44"/>
      <c r="J3" s="42" t="s">
        <v>65</v>
      </c>
      <c r="K3" s="43"/>
      <c r="L3" s="45"/>
      <c r="M3" s="44"/>
      <c r="N3" s="42" t="s">
        <v>66</v>
      </c>
      <c r="O3" s="43"/>
      <c r="P3" s="45"/>
      <c r="Q3" s="44"/>
      <c r="R3" s="42" t="s">
        <v>1</v>
      </c>
      <c r="S3" s="43"/>
      <c r="T3" s="45"/>
      <c r="U3" s="44"/>
    </row>
    <row r="4" spans="1:21" s="13" customFormat="1" ht="27" customHeight="1">
      <c r="A4" s="7" t="s">
        <v>82</v>
      </c>
      <c r="B4" s="33" t="s">
        <v>2</v>
      </c>
      <c r="C4" s="33" t="s">
        <v>3</v>
      </c>
      <c r="D4" s="33" t="s">
        <v>4</v>
      </c>
      <c r="E4" s="33" t="s">
        <v>5</v>
      </c>
      <c r="F4" s="33" t="s">
        <v>2</v>
      </c>
      <c r="G4" s="33" t="s">
        <v>3</v>
      </c>
      <c r="H4" s="33" t="s">
        <v>4</v>
      </c>
      <c r="I4" s="33" t="s">
        <v>5</v>
      </c>
      <c r="J4" s="34" t="s">
        <v>2</v>
      </c>
      <c r="K4" s="33" t="s">
        <v>3</v>
      </c>
      <c r="L4" s="33" t="s">
        <v>4</v>
      </c>
      <c r="M4" s="33" t="s">
        <v>5</v>
      </c>
      <c r="N4" s="34" t="s">
        <v>2</v>
      </c>
      <c r="O4" s="33" t="s">
        <v>3</v>
      </c>
      <c r="P4" s="33" t="s">
        <v>4</v>
      </c>
      <c r="Q4" s="33" t="s">
        <v>5</v>
      </c>
      <c r="R4" s="34" t="s">
        <v>2</v>
      </c>
      <c r="S4" s="33" t="s">
        <v>3</v>
      </c>
      <c r="T4" s="33" t="s">
        <v>4</v>
      </c>
      <c r="U4" s="35" t="s">
        <v>5</v>
      </c>
    </row>
    <row r="5" spans="1:21" s="24" customFormat="1" ht="11.25">
      <c r="A5" s="22" t="s">
        <v>60</v>
      </c>
      <c r="B5" s="23">
        <v>10499</v>
      </c>
      <c r="C5" s="32">
        <f>SUM(C12:C15)</f>
        <v>348</v>
      </c>
      <c r="D5" s="32">
        <f>SUM(D12:D15)</f>
        <v>739</v>
      </c>
      <c r="E5" s="32">
        <f>SUM(E12:E15)</f>
        <v>-391</v>
      </c>
      <c r="F5" s="23">
        <v>22710</v>
      </c>
      <c r="G5" s="32">
        <f>SUM(G12:G15)</f>
        <v>1771</v>
      </c>
      <c r="H5" s="32">
        <f aca="true" t="shared" si="0" ref="H5:U5">SUM(H12:H15)</f>
        <v>1589</v>
      </c>
      <c r="I5" s="32">
        <f t="shared" si="0"/>
        <v>182</v>
      </c>
      <c r="J5" s="23">
        <v>33289</v>
      </c>
      <c r="K5" s="32">
        <f t="shared" si="0"/>
        <v>2149</v>
      </c>
      <c r="L5" s="32">
        <f t="shared" si="0"/>
        <v>2173</v>
      </c>
      <c r="M5" s="32">
        <f t="shared" si="0"/>
        <v>-24</v>
      </c>
      <c r="N5" s="23">
        <v>63</v>
      </c>
      <c r="O5" s="32">
        <f t="shared" si="0"/>
        <v>1438</v>
      </c>
      <c r="P5" s="32">
        <f t="shared" si="0"/>
        <v>204</v>
      </c>
      <c r="Q5" s="32">
        <f t="shared" si="0"/>
        <v>1234</v>
      </c>
      <c r="R5" s="23">
        <v>66561</v>
      </c>
      <c r="S5" s="32">
        <f t="shared" si="0"/>
        <v>5706</v>
      </c>
      <c r="T5" s="32">
        <f t="shared" si="0"/>
        <v>4705</v>
      </c>
      <c r="U5" s="32">
        <f t="shared" si="0"/>
        <v>1001</v>
      </c>
    </row>
    <row r="6" spans="1:21" s="24" customFormat="1" ht="11.25">
      <c r="A6" s="22" t="s">
        <v>68</v>
      </c>
      <c r="B6" s="23">
        <f>B19</f>
        <v>10228</v>
      </c>
      <c r="C6" s="32">
        <f>SUM(C16:C19)</f>
        <v>304</v>
      </c>
      <c r="D6" s="32">
        <f>SUM(D16:D19)</f>
        <v>620</v>
      </c>
      <c r="E6" s="31">
        <f>C6-D6</f>
        <v>-316</v>
      </c>
      <c r="F6" s="23">
        <f>F19</f>
        <v>23097</v>
      </c>
      <c r="G6" s="32">
        <f>SUM(G16:G19)</f>
        <v>1845</v>
      </c>
      <c r="H6" s="32">
        <f>SUM(H16:H19)</f>
        <v>1590</v>
      </c>
      <c r="I6" s="32">
        <f>SUM(I16:I19)</f>
        <v>255</v>
      </c>
      <c r="J6" s="23">
        <f>J19</f>
        <v>33996</v>
      </c>
      <c r="K6" s="32">
        <f>SUM(K16:K19)</f>
        <v>2122</v>
      </c>
      <c r="L6" s="32">
        <f>SUM(L16:L19)</f>
        <v>2328</v>
      </c>
      <c r="M6" s="32">
        <f>SUM(M16:M19)</f>
        <v>-206</v>
      </c>
      <c r="N6" s="23">
        <f>N19</f>
        <v>43</v>
      </c>
      <c r="O6" s="32">
        <f>SUM(O16:O19)</f>
        <v>1345</v>
      </c>
      <c r="P6" s="32">
        <f>SUM(P16:P19)</f>
        <v>172</v>
      </c>
      <c r="Q6" s="32">
        <f>SUM(Q16:Q19)</f>
        <v>1173</v>
      </c>
      <c r="R6" s="23">
        <f>R19</f>
        <v>67364</v>
      </c>
      <c r="S6" s="23">
        <f>SUM(S16:S19)</f>
        <v>5616</v>
      </c>
      <c r="T6" s="23">
        <f>SUM(T16:T19)</f>
        <v>4710</v>
      </c>
      <c r="U6" s="23">
        <f>SUM(U16:U19)</f>
        <v>906</v>
      </c>
    </row>
    <row r="7" spans="1:21" s="24" customFormat="1" ht="11.25">
      <c r="A7" s="22" t="s">
        <v>70</v>
      </c>
      <c r="B7" s="23">
        <f>B23</f>
        <v>9999</v>
      </c>
      <c r="C7" s="32">
        <f>SUM(C20:C23)</f>
        <v>247</v>
      </c>
      <c r="D7" s="32">
        <f>SUM(D20:D23)</f>
        <v>496</v>
      </c>
      <c r="E7" s="32">
        <f>SUM(E20:E23)</f>
        <v>-249</v>
      </c>
      <c r="F7" s="23">
        <f>F23</f>
        <v>23429</v>
      </c>
      <c r="G7" s="32">
        <f>SUM(G20:G23)</f>
        <v>1943</v>
      </c>
      <c r="H7" s="32">
        <f>SUM(H20:H23)</f>
        <v>1825</v>
      </c>
      <c r="I7" s="32">
        <f>SUM(I20:I23)</f>
        <v>118</v>
      </c>
      <c r="J7" s="23">
        <f>J23</f>
        <v>34544</v>
      </c>
      <c r="K7" s="32">
        <f>SUM(K20:K23)</f>
        <v>2018</v>
      </c>
      <c r="L7" s="32">
        <f>SUM(L20:L23)</f>
        <v>2341</v>
      </c>
      <c r="M7" s="32">
        <f>SUM(M20:M23)</f>
        <v>-323</v>
      </c>
      <c r="N7" s="23">
        <f>N23</f>
        <v>52</v>
      </c>
      <c r="O7" s="32">
        <f>SUM(O20:O23)</f>
        <v>1460</v>
      </c>
      <c r="P7" s="32">
        <f>SUM(P20:P23)</f>
        <v>153</v>
      </c>
      <c r="Q7" s="32">
        <f>SUM(Q20:Q23)</f>
        <v>1307</v>
      </c>
      <c r="R7" s="23">
        <f>R23</f>
        <v>68024</v>
      </c>
      <c r="S7" s="23">
        <f>SUM(S20:S23)</f>
        <v>5668</v>
      </c>
      <c r="T7" s="23">
        <f>SUM(T20:T23)</f>
        <v>4815</v>
      </c>
      <c r="U7" s="23">
        <f>SUM(U20:U23)</f>
        <v>853</v>
      </c>
    </row>
    <row r="8" spans="1:21" s="24" customFormat="1" ht="11.25">
      <c r="A8" s="22" t="s">
        <v>72</v>
      </c>
      <c r="B8" s="15">
        <f>B27</f>
        <v>10130</v>
      </c>
      <c r="C8" s="15">
        <f>SUM(C24:C27)</f>
        <v>598</v>
      </c>
      <c r="D8" s="15">
        <f>SUM(D24:D27)</f>
        <v>498</v>
      </c>
      <c r="E8" s="15">
        <f>SUM(E24:E27)</f>
        <v>100</v>
      </c>
      <c r="F8" s="23">
        <f>F27</f>
        <v>23552</v>
      </c>
      <c r="G8" s="15">
        <f>SUM(G24:G27)</f>
        <v>2104</v>
      </c>
      <c r="H8" s="15">
        <f>SUM(H24:H27)</f>
        <v>2494</v>
      </c>
      <c r="I8" s="15">
        <f>SUM(I24:I27)</f>
        <v>-390</v>
      </c>
      <c r="J8" s="15">
        <f>J27</f>
        <v>34696</v>
      </c>
      <c r="K8" s="15">
        <f>SUM(K24:K27)</f>
        <v>2046</v>
      </c>
      <c r="L8" s="15">
        <f>SUM(L24:L27)</f>
        <v>2942</v>
      </c>
      <c r="M8" s="15">
        <f>SUM(M24:M27)</f>
        <v>-896</v>
      </c>
      <c r="N8" s="15">
        <f>N27</f>
        <v>47</v>
      </c>
      <c r="O8" s="15">
        <f>SUM(O24:O27)</f>
        <v>1405</v>
      </c>
      <c r="P8" s="15">
        <f>SUM(P24:P27)</f>
        <v>252</v>
      </c>
      <c r="Q8" s="15">
        <f>SUM(Q24:Q27)</f>
        <v>1153</v>
      </c>
      <c r="R8" s="23">
        <f>R27</f>
        <v>68425</v>
      </c>
      <c r="S8" s="23">
        <f>SUM(S24:S27)</f>
        <v>6153</v>
      </c>
      <c r="T8" s="23">
        <f>SUM(T24:T27)</f>
        <v>6186</v>
      </c>
      <c r="U8" s="23">
        <f>SUM(U24:U27)</f>
        <v>-33</v>
      </c>
    </row>
    <row r="9" spans="1:21" s="24" customFormat="1" ht="11.25">
      <c r="A9" s="22" t="s">
        <v>74</v>
      </c>
      <c r="B9" s="15">
        <f>B31</f>
        <v>9898</v>
      </c>
      <c r="C9" s="15">
        <f>SUM(C28:C31)</f>
        <v>310</v>
      </c>
      <c r="D9" s="15">
        <f aca="true" t="shared" si="1" ref="D9:U9">SUM(D28:D31)</f>
        <v>599</v>
      </c>
      <c r="E9" s="15">
        <f t="shared" si="1"/>
        <v>-289</v>
      </c>
      <c r="F9" s="15">
        <f>F31</f>
        <v>23817</v>
      </c>
      <c r="G9" s="15">
        <f t="shared" si="1"/>
        <v>1791</v>
      </c>
      <c r="H9" s="15">
        <f t="shared" si="1"/>
        <v>2576</v>
      </c>
      <c r="I9" s="15">
        <f t="shared" si="1"/>
        <v>-785</v>
      </c>
      <c r="J9" s="15">
        <f>J31</f>
        <v>35091</v>
      </c>
      <c r="K9" s="15">
        <f t="shared" si="1"/>
        <v>2038</v>
      </c>
      <c r="L9" s="15">
        <f t="shared" si="1"/>
        <v>3360</v>
      </c>
      <c r="M9" s="15">
        <f t="shared" si="1"/>
        <v>-1322</v>
      </c>
      <c r="N9" s="15">
        <f>N31</f>
        <v>65</v>
      </c>
      <c r="O9" s="15">
        <f t="shared" si="1"/>
        <v>1216</v>
      </c>
      <c r="P9" s="15">
        <f t="shared" si="1"/>
        <v>310</v>
      </c>
      <c r="Q9" s="15">
        <f t="shared" si="1"/>
        <v>906</v>
      </c>
      <c r="R9" s="15">
        <f>R31</f>
        <v>68871</v>
      </c>
      <c r="S9" s="15">
        <f t="shared" si="1"/>
        <v>5355</v>
      </c>
      <c r="T9" s="15">
        <f t="shared" si="1"/>
        <v>6845</v>
      </c>
      <c r="U9" s="15">
        <f t="shared" si="1"/>
        <v>-1490</v>
      </c>
    </row>
    <row r="10" spans="1:21" s="24" customFormat="1" ht="11.25">
      <c r="A10" s="22" t="s">
        <v>76</v>
      </c>
      <c r="B10" s="15">
        <f>B35</f>
        <v>9729</v>
      </c>
      <c r="C10" s="15">
        <f>SUM(C32:C35)</f>
        <v>235</v>
      </c>
      <c r="D10" s="15">
        <f>SUM(D32:D35)</f>
        <v>454</v>
      </c>
      <c r="E10" s="15">
        <f>SUM(E32:E35)</f>
        <v>-219</v>
      </c>
      <c r="F10" s="15">
        <f>F35</f>
        <v>23153</v>
      </c>
      <c r="G10" s="15">
        <f>SUM(G32:G35)</f>
        <v>1575</v>
      </c>
      <c r="H10" s="15">
        <f>SUM(H32:H35)</f>
        <v>2368</v>
      </c>
      <c r="I10" s="15">
        <f>SUM(I32:I35)</f>
        <v>-793</v>
      </c>
      <c r="J10" s="15">
        <f>J35</f>
        <v>35154</v>
      </c>
      <c r="K10" s="15">
        <f>SUM(K32:K35)</f>
        <v>1974</v>
      </c>
      <c r="L10" s="15">
        <f>SUM(L32:L35)</f>
        <v>2702</v>
      </c>
      <c r="M10" s="15">
        <f>SUM(M32:M35)</f>
        <v>-728</v>
      </c>
      <c r="N10" s="15">
        <f>N35</f>
        <v>96</v>
      </c>
      <c r="O10" s="15">
        <f>SUM(O32:O35)</f>
        <v>1136</v>
      </c>
      <c r="P10" s="15">
        <f>SUM(P32:P35)</f>
        <v>190</v>
      </c>
      <c r="Q10" s="15">
        <f>SUM(Q32:Q35)</f>
        <v>946</v>
      </c>
      <c r="R10" s="15">
        <f>R35</f>
        <v>68132</v>
      </c>
      <c r="S10" s="15">
        <f>SUM(S32:S35)</f>
        <v>4920</v>
      </c>
      <c r="T10" s="15">
        <f>SUM(T32:T35)</f>
        <v>5714</v>
      </c>
      <c r="U10" s="15">
        <f>SUM(U32:U35)</f>
        <v>-794</v>
      </c>
    </row>
    <row r="11" spans="1:21" s="24" customFormat="1" ht="11.25">
      <c r="A11" s="22"/>
      <c r="B11" s="15"/>
      <c r="C11" s="15"/>
      <c r="D11" s="15"/>
      <c r="E11" s="15"/>
      <c r="F11" s="23"/>
      <c r="G11" s="15"/>
      <c r="H11" s="15"/>
      <c r="I11" s="31"/>
      <c r="J11" s="15"/>
      <c r="K11" s="15"/>
      <c r="L11" s="15"/>
      <c r="M11" s="15"/>
      <c r="N11" s="15"/>
      <c r="O11" s="15"/>
      <c r="P11" s="15"/>
      <c r="Q11" s="15"/>
      <c r="R11" s="23"/>
      <c r="S11" s="23"/>
      <c r="T11" s="23"/>
      <c r="U11" s="15"/>
    </row>
    <row r="12" spans="1:52" s="5" customFormat="1" ht="11.25">
      <c r="A12" s="17" t="s">
        <v>61</v>
      </c>
      <c r="B12" s="23">
        <v>10592</v>
      </c>
      <c r="C12" s="31">
        <v>126</v>
      </c>
      <c r="D12" s="31">
        <v>401</v>
      </c>
      <c r="E12" s="23">
        <f aca="true" t="shared" si="2" ref="E12:E19">C12-D12</f>
        <v>-275</v>
      </c>
      <c r="F12" s="23">
        <v>22362</v>
      </c>
      <c r="G12" s="31">
        <v>569</v>
      </c>
      <c r="H12" s="31">
        <v>623</v>
      </c>
      <c r="I12" s="23">
        <f aca="true" t="shared" si="3" ref="I12:I19">G12-H12</f>
        <v>-54</v>
      </c>
      <c r="J12" s="23">
        <v>32475</v>
      </c>
      <c r="K12" s="31">
        <v>648</v>
      </c>
      <c r="L12" s="31">
        <v>835</v>
      </c>
      <c r="M12" s="23">
        <f aca="true" t="shared" si="4" ref="M12:M19">K12-L12</f>
        <v>-187</v>
      </c>
      <c r="N12" s="23">
        <v>129</v>
      </c>
      <c r="O12" s="31">
        <v>478</v>
      </c>
      <c r="P12" s="31">
        <v>96</v>
      </c>
      <c r="Q12" s="23">
        <f aca="true" t="shared" si="5" ref="Q12:Q19">O12-P12</f>
        <v>382</v>
      </c>
      <c r="R12" s="23">
        <f aca="true" t="shared" si="6" ref="R12:U19">F12+J12+N12+B12</f>
        <v>65558</v>
      </c>
      <c r="S12" s="23">
        <f t="shared" si="6"/>
        <v>1821</v>
      </c>
      <c r="T12" s="23">
        <f t="shared" si="6"/>
        <v>1955</v>
      </c>
      <c r="U12" s="23">
        <f t="shared" si="6"/>
        <v>-134</v>
      </c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</row>
    <row r="13" spans="1:21" s="5" customFormat="1" ht="11.25">
      <c r="A13" s="17" t="s">
        <v>15</v>
      </c>
      <c r="B13" s="23">
        <v>10546</v>
      </c>
      <c r="C13" s="17">
        <v>102</v>
      </c>
      <c r="D13" s="17">
        <v>161</v>
      </c>
      <c r="E13" s="17">
        <f t="shared" si="2"/>
        <v>-59</v>
      </c>
      <c r="F13" s="16">
        <v>22612</v>
      </c>
      <c r="G13" s="16">
        <v>507</v>
      </c>
      <c r="H13" s="23">
        <v>313</v>
      </c>
      <c r="I13" s="16">
        <f t="shared" si="3"/>
        <v>194</v>
      </c>
      <c r="J13" s="16">
        <v>32899</v>
      </c>
      <c r="K13" s="16">
        <v>570</v>
      </c>
      <c r="L13" s="16">
        <v>413</v>
      </c>
      <c r="M13" s="16">
        <f t="shared" si="4"/>
        <v>157</v>
      </c>
      <c r="N13" s="16">
        <v>72</v>
      </c>
      <c r="O13" s="16">
        <v>356</v>
      </c>
      <c r="P13" s="16">
        <v>28</v>
      </c>
      <c r="Q13" s="16">
        <f t="shared" si="5"/>
        <v>328</v>
      </c>
      <c r="R13" s="23">
        <f t="shared" si="6"/>
        <v>66129</v>
      </c>
      <c r="S13" s="23">
        <f t="shared" si="6"/>
        <v>1535</v>
      </c>
      <c r="T13" s="23">
        <f t="shared" si="6"/>
        <v>915</v>
      </c>
      <c r="U13" s="16">
        <f t="shared" si="6"/>
        <v>620</v>
      </c>
    </row>
    <row r="14" spans="1:21" s="5" customFormat="1" ht="11.25">
      <c r="A14" s="17" t="s">
        <v>16</v>
      </c>
      <c r="B14" s="23">
        <v>10500</v>
      </c>
      <c r="C14" s="17">
        <v>51</v>
      </c>
      <c r="D14" s="17">
        <v>102</v>
      </c>
      <c r="E14" s="17">
        <f t="shared" si="2"/>
        <v>-51</v>
      </c>
      <c r="F14" s="16">
        <v>22767</v>
      </c>
      <c r="G14" s="16">
        <v>417</v>
      </c>
      <c r="H14" s="23">
        <v>281</v>
      </c>
      <c r="I14" s="16">
        <f t="shared" si="3"/>
        <v>136</v>
      </c>
      <c r="J14" s="16">
        <v>33212</v>
      </c>
      <c r="K14" s="16">
        <v>485</v>
      </c>
      <c r="L14" s="16">
        <v>409</v>
      </c>
      <c r="M14" s="16">
        <f t="shared" si="4"/>
        <v>76</v>
      </c>
      <c r="N14" s="16">
        <v>109</v>
      </c>
      <c r="O14" s="16">
        <v>248</v>
      </c>
      <c r="P14" s="16">
        <v>28</v>
      </c>
      <c r="Q14" s="16">
        <f t="shared" si="5"/>
        <v>220</v>
      </c>
      <c r="R14" s="16">
        <f t="shared" si="6"/>
        <v>66588</v>
      </c>
      <c r="S14" s="23">
        <f t="shared" si="6"/>
        <v>1201</v>
      </c>
      <c r="T14" s="23">
        <f t="shared" si="6"/>
        <v>820</v>
      </c>
      <c r="U14" s="16">
        <f t="shared" si="6"/>
        <v>381</v>
      </c>
    </row>
    <row r="15" spans="1:21" s="5" customFormat="1" ht="11.25">
      <c r="A15" s="17" t="s">
        <v>17</v>
      </c>
      <c r="B15" s="23">
        <v>10499</v>
      </c>
      <c r="C15" s="17">
        <v>69</v>
      </c>
      <c r="D15" s="17">
        <v>75</v>
      </c>
      <c r="E15" s="17">
        <f t="shared" si="2"/>
        <v>-6</v>
      </c>
      <c r="F15" s="16">
        <v>22710</v>
      </c>
      <c r="G15" s="16">
        <v>278</v>
      </c>
      <c r="H15" s="23">
        <v>372</v>
      </c>
      <c r="I15" s="16">
        <f t="shared" si="3"/>
        <v>-94</v>
      </c>
      <c r="J15" s="16">
        <v>33289</v>
      </c>
      <c r="K15" s="16">
        <v>446</v>
      </c>
      <c r="L15" s="16">
        <v>516</v>
      </c>
      <c r="M15" s="16">
        <f t="shared" si="4"/>
        <v>-70</v>
      </c>
      <c r="N15" s="16">
        <v>63</v>
      </c>
      <c r="O15" s="16">
        <v>356</v>
      </c>
      <c r="P15" s="16">
        <v>52</v>
      </c>
      <c r="Q15" s="16">
        <f t="shared" si="5"/>
        <v>304</v>
      </c>
      <c r="R15" s="16">
        <f t="shared" si="6"/>
        <v>66561</v>
      </c>
      <c r="S15" s="16">
        <f t="shared" si="6"/>
        <v>1149</v>
      </c>
      <c r="T15" s="16">
        <f t="shared" si="6"/>
        <v>1015</v>
      </c>
      <c r="U15" s="16">
        <f t="shared" si="6"/>
        <v>134</v>
      </c>
    </row>
    <row r="16" spans="1:21" s="5" customFormat="1" ht="11.25">
      <c r="A16" s="17" t="s">
        <v>62</v>
      </c>
      <c r="B16" s="23">
        <v>10294</v>
      </c>
      <c r="C16" s="17">
        <v>131</v>
      </c>
      <c r="D16" s="17">
        <v>348</v>
      </c>
      <c r="E16" s="17">
        <f t="shared" si="2"/>
        <v>-217</v>
      </c>
      <c r="F16" s="16">
        <v>22754</v>
      </c>
      <c r="G16" s="16">
        <v>524</v>
      </c>
      <c r="H16" s="23">
        <v>544</v>
      </c>
      <c r="I16" s="16">
        <f t="shared" si="3"/>
        <v>-20</v>
      </c>
      <c r="J16" s="16">
        <v>33277</v>
      </c>
      <c r="K16" s="16">
        <v>584</v>
      </c>
      <c r="L16" s="16">
        <v>863</v>
      </c>
      <c r="M16" s="16">
        <f t="shared" si="4"/>
        <v>-279</v>
      </c>
      <c r="N16" s="16">
        <v>84</v>
      </c>
      <c r="O16" s="16">
        <v>410</v>
      </c>
      <c r="P16" s="16">
        <v>69</v>
      </c>
      <c r="Q16" s="16">
        <f t="shared" si="5"/>
        <v>341</v>
      </c>
      <c r="R16" s="16">
        <f t="shared" si="6"/>
        <v>66409</v>
      </c>
      <c r="S16" s="16">
        <f t="shared" si="6"/>
        <v>1649</v>
      </c>
      <c r="T16" s="16">
        <f t="shared" si="6"/>
        <v>1824</v>
      </c>
      <c r="U16" s="16">
        <f t="shared" si="6"/>
        <v>-175</v>
      </c>
    </row>
    <row r="17" spans="1:21" s="5" customFormat="1" ht="11.25">
      <c r="A17" s="17" t="s">
        <v>15</v>
      </c>
      <c r="B17" s="23">
        <f>10283+25</f>
        <v>10308</v>
      </c>
      <c r="C17" s="17">
        <v>96</v>
      </c>
      <c r="D17" s="17">
        <v>93</v>
      </c>
      <c r="E17" s="17">
        <f t="shared" si="2"/>
        <v>3</v>
      </c>
      <c r="F17" s="16">
        <f>45+12203+25+10739</f>
        <v>23012</v>
      </c>
      <c r="G17" s="16">
        <f>182+431</f>
        <v>613</v>
      </c>
      <c r="H17" s="23">
        <f>192+230</f>
        <v>422</v>
      </c>
      <c r="I17" s="16">
        <f t="shared" si="3"/>
        <v>191</v>
      </c>
      <c r="J17" s="16">
        <f>14902+2553+3198+1336+8665+153+195+2737</f>
        <v>33739</v>
      </c>
      <c r="K17" s="16">
        <f>317+61+83+24+145+3+1+27</f>
        <v>661</v>
      </c>
      <c r="L17" s="16">
        <f>198+40+63+27+90+3+37</f>
        <v>458</v>
      </c>
      <c r="M17" s="16">
        <f t="shared" si="4"/>
        <v>203</v>
      </c>
      <c r="N17" s="16">
        <v>74</v>
      </c>
      <c r="O17" s="16">
        <v>317</v>
      </c>
      <c r="P17" s="16">
        <v>19</v>
      </c>
      <c r="Q17" s="16">
        <f t="shared" si="5"/>
        <v>298</v>
      </c>
      <c r="R17" s="16">
        <f t="shared" si="6"/>
        <v>67133</v>
      </c>
      <c r="S17" s="16">
        <f t="shared" si="6"/>
        <v>1687</v>
      </c>
      <c r="T17" s="16">
        <f t="shared" si="6"/>
        <v>992</v>
      </c>
      <c r="U17" s="16">
        <f t="shared" si="6"/>
        <v>695</v>
      </c>
    </row>
    <row r="18" spans="1:21" s="5" customFormat="1" ht="11.25">
      <c r="A18" s="17" t="s">
        <v>16</v>
      </c>
      <c r="B18" s="23">
        <f>10225+25</f>
        <v>10250</v>
      </c>
      <c r="C18" s="17">
        <v>41</v>
      </c>
      <c r="D18" s="17">
        <v>99</v>
      </c>
      <c r="E18" s="17">
        <f t="shared" si="2"/>
        <v>-58</v>
      </c>
      <c r="F18" s="16">
        <f>45+12171+23+10808</f>
        <v>23047</v>
      </c>
      <c r="G18" s="16">
        <f>133+208</f>
        <v>341</v>
      </c>
      <c r="H18" s="23">
        <f>152+1+147</f>
        <v>300</v>
      </c>
      <c r="I18" s="16">
        <f t="shared" si="3"/>
        <v>41</v>
      </c>
      <c r="J18" s="16">
        <f>14927+2569+3206+1341+8771+158+203+2750</f>
        <v>33925</v>
      </c>
      <c r="K18" s="16">
        <f>192+42+43+22+105+3+1+24</f>
        <v>432</v>
      </c>
      <c r="L18" s="16">
        <f>208+43+53+21+60+20</f>
        <v>405</v>
      </c>
      <c r="M18" s="16">
        <f t="shared" si="4"/>
        <v>27</v>
      </c>
      <c r="N18" s="16">
        <v>88</v>
      </c>
      <c r="O18" s="16">
        <v>294</v>
      </c>
      <c r="P18" s="16">
        <v>31</v>
      </c>
      <c r="Q18" s="16">
        <f t="shared" si="5"/>
        <v>263</v>
      </c>
      <c r="R18" s="16">
        <f t="shared" si="6"/>
        <v>67310</v>
      </c>
      <c r="S18" s="16">
        <f t="shared" si="6"/>
        <v>1108</v>
      </c>
      <c r="T18" s="16">
        <f t="shared" si="6"/>
        <v>835</v>
      </c>
      <c r="U18" s="16">
        <f t="shared" si="6"/>
        <v>273</v>
      </c>
    </row>
    <row r="19" spans="1:21" s="5" customFormat="1" ht="11.25">
      <c r="A19" s="17" t="s">
        <v>17</v>
      </c>
      <c r="B19" s="23">
        <f>10204+24</f>
        <v>10228</v>
      </c>
      <c r="C19" s="17">
        <v>36</v>
      </c>
      <c r="D19" s="17">
        <f>79+1</f>
        <v>80</v>
      </c>
      <c r="E19" s="17">
        <f t="shared" si="2"/>
        <v>-44</v>
      </c>
      <c r="F19" s="16">
        <f>43+12134+24+10896</f>
        <v>23097</v>
      </c>
      <c r="G19" s="16">
        <f>121+246</f>
        <v>367</v>
      </c>
      <c r="H19" s="23">
        <f>1+160+1+162</f>
        <v>324</v>
      </c>
      <c r="I19" s="16">
        <f t="shared" si="3"/>
        <v>43</v>
      </c>
      <c r="J19" s="16">
        <f>14922+2598+3182+1341+8834+163+209+2747</f>
        <v>33996</v>
      </c>
      <c r="K19" s="16">
        <f>225+41+21+25+108+1+2+22</f>
        <v>445</v>
      </c>
      <c r="L19" s="16">
        <f>280+56+54+27+147+4+34</f>
        <v>602</v>
      </c>
      <c r="M19" s="16">
        <f t="shared" si="4"/>
        <v>-157</v>
      </c>
      <c r="N19" s="16">
        <v>43</v>
      </c>
      <c r="O19" s="16">
        <v>324</v>
      </c>
      <c r="P19" s="16">
        <v>53</v>
      </c>
      <c r="Q19" s="16">
        <f t="shared" si="5"/>
        <v>271</v>
      </c>
      <c r="R19" s="16">
        <f t="shared" si="6"/>
        <v>67364</v>
      </c>
      <c r="S19" s="16">
        <f t="shared" si="6"/>
        <v>1172</v>
      </c>
      <c r="T19" s="16">
        <f t="shared" si="6"/>
        <v>1059</v>
      </c>
      <c r="U19" s="16">
        <f t="shared" si="6"/>
        <v>113</v>
      </c>
    </row>
    <row r="20" spans="1:21" s="5" customFormat="1" ht="11.25">
      <c r="A20" s="17" t="s">
        <v>69</v>
      </c>
      <c r="B20" s="23">
        <f>10050+24</f>
        <v>10074</v>
      </c>
      <c r="C20" s="17">
        <v>106</v>
      </c>
      <c r="D20" s="17">
        <v>268</v>
      </c>
      <c r="E20" s="17">
        <f aca="true" t="shared" si="7" ref="E20:E35">C20-D20</f>
        <v>-162</v>
      </c>
      <c r="F20" s="16">
        <f>43+12060+24+10981</f>
        <v>23108</v>
      </c>
      <c r="G20" s="16">
        <f>215+350</f>
        <v>565</v>
      </c>
      <c r="H20" s="23">
        <f>330+315</f>
        <v>645</v>
      </c>
      <c r="I20" s="16">
        <f aca="true" t="shared" si="8" ref="I20:I35">G20-H20</f>
        <v>-80</v>
      </c>
      <c r="J20" s="16">
        <f>14860+2598+3156+1335+8989+165+212+2739</f>
        <v>34054</v>
      </c>
      <c r="K20" s="16">
        <f>319+58+40+32+191+1+2+44</f>
        <v>687</v>
      </c>
      <c r="L20" s="16">
        <f>447+74+58+48+178+2+2+72</f>
        <v>881</v>
      </c>
      <c r="M20" s="16">
        <f aca="true" t="shared" si="9" ref="M20:M35">K20-L20</f>
        <v>-194</v>
      </c>
      <c r="N20" s="16">
        <v>53</v>
      </c>
      <c r="O20" s="16">
        <v>442</v>
      </c>
      <c r="P20" s="16">
        <v>48</v>
      </c>
      <c r="Q20" s="16">
        <f aca="true" t="shared" si="10" ref="Q20:Q35">O20-P20</f>
        <v>394</v>
      </c>
      <c r="R20" s="16">
        <f aca="true" t="shared" si="11" ref="R20:U28">F20+J20+N20+B20</f>
        <v>67289</v>
      </c>
      <c r="S20" s="16">
        <f t="shared" si="11"/>
        <v>1800</v>
      </c>
      <c r="T20" s="16">
        <f t="shared" si="11"/>
        <v>1842</v>
      </c>
      <c r="U20" s="16">
        <f t="shared" si="11"/>
        <v>-42</v>
      </c>
    </row>
    <row r="21" spans="1:21" ht="11.25">
      <c r="A21" s="17" t="s">
        <v>15</v>
      </c>
      <c r="B21" s="23">
        <f>10033+23</f>
        <v>10056</v>
      </c>
      <c r="C21" s="17">
        <v>73</v>
      </c>
      <c r="D21" s="17">
        <v>97</v>
      </c>
      <c r="E21" s="17">
        <f t="shared" si="7"/>
        <v>-24</v>
      </c>
      <c r="F21" s="16">
        <f>44+12029+25+11067</f>
        <v>23165</v>
      </c>
      <c r="G21" s="16">
        <f>178+356</f>
        <v>534</v>
      </c>
      <c r="H21" s="23">
        <f>229+285</f>
        <v>514</v>
      </c>
      <c r="I21" s="16">
        <f t="shared" si="8"/>
        <v>20</v>
      </c>
      <c r="J21" s="16">
        <f>14970+2629+3115+1347+9161+164+212+2740</f>
        <v>34338</v>
      </c>
      <c r="K21" s="16">
        <f>247+58+21+26+113+31</f>
        <v>496</v>
      </c>
      <c r="L21" s="16">
        <f>217+58+73+17+86+2+48</f>
        <v>501</v>
      </c>
      <c r="M21" s="16">
        <f t="shared" si="9"/>
        <v>-5</v>
      </c>
      <c r="N21" s="16">
        <v>69</v>
      </c>
      <c r="O21" s="16">
        <v>373</v>
      </c>
      <c r="P21" s="16">
        <v>23</v>
      </c>
      <c r="Q21" s="16">
        <f t="shared" si="10"/>
        <v>350</v>
      </c>
      <c r="R21" s="16">
        <f t="shared" si="11"/>
        <v>67628</v>
      </c>
      <c r="S21" s="16">
        <f t="shared" si="11"/>
        <v>1476</v>
      </c>
      <c r="T21" s="16">
        <f t="shared" si="11"/>
        <v>1135</v>
      </c>
      <c r="U21" s="16">
        <f t="shared" si="11"/>
        <v>341</v>
      </c>
    </row>
    <row r="22" spans="1:21" ht="11.25">
      <c r="A22" s="17" t="s">
        <v>16</v>
      </c>
      <c r="B22" s="23">
        <f>10022+21</f>
        <v>10043</v>
      </c>
      <c r="C22" s="17">
        <f>31+0</f>
        <v>31</v>
      </c>
      <c r="D22" s="17">
        <f>44+2</f>
        <v>46</v>
      </c>
      <c r="E22" s="17">
        <f t="shared" si="7"/>
        <v>-15</v>
      </c>
      <c r="F22" s="16">
        <f>45+12057+25+11251</f>
        <v>23378</v>
      </c>
      <c r="G22" s="16">
        <f>1+142+277</f>
        <v>420</v>
      </c>
      <c r="H22" s="23">
        <f>134+1+131</f>
        <v>266</v>
      </c>
      <c r="I22" s="16">
        <f t="shared" si="8"/>
        <v>154</v>
      </c>
      <c r="J22" s="16">
        <f>15039+2664+3101+1357+9234+164+211+2740</f>
        <v>34510</v>
      </c>
      <c r="K22" s="16">
        <f>195+52+13+19+94+1+22</f>
        <v>396</v>
      </c>
      <c r="L22" s="16">
        <f>195+39+31+15+67+1+28</f>
        <v>376</v>
      </c>
      <c r="M22" s="16">
        <f t="shared" si="9"/>
        <v>20</v>
      </c>
      <c r="N22" s="16">
        <v>58</v>
      </c>
      <c r="O22" s="16">
        <v>254</v>
      </c>
      <c r="P22" s="16">
        <v>21</v>
      </c>
      <c r="Q22" s="16">
        <f t="shared" si="10"/>
        <v>233</v>
      </c>
      <c r="R22" s="16">
        <f t="shared" si="11"/>
        <v>67989</v>
      </c>
      <c r="S22" s="16">
        <f t="shared" si="11"/>
        <v>1101</v>
      </c>
      <c r="T22" s="16">
        <f t="shared" si="11"/>
        <v>709</v>
      </c>
      <c r="U22" s="16">
        <f t="shared" si="11"/>
        <v>392</v>
      </c>
    </row>
    <row r="23" spans="1:21" ht="11.25">
      <c r="A23" s="17" t="s">
        <v>17</v>
      </c>
      <c r="B23" s="23">
        <f>9978+21</f>
        <v>9999</v>
      </c>
      <c r="C23" s="17">
        <f>37+0</f>
        <v>37</v>
      </c>
      <c r="D23" s="17">
        <f>85+0</f>
        <v>85</v>
      </c>
      <c r="E23" s="17">
        <f t="shared" si="7"/>
        <v>-48</v>
      </c>
      <c r="F23" s="16">
        <f>47+12002+24+11356</f>
        <v>23429</v>
      </c>
      <c r="G23" s="16">
        <f>0+143+0+281</f>
        <v>424</v>
      </c>
      <c r="H23" s="23">
        <f>0+202+1+197</f>
        <v>400</v>
      </c>
      <c r="I23" s="16">
        <f t="shared" si="8"/>
        <v>24</v>
      </c>
      <c r="J23" s="16">
        <f>15016+2680+3100+1352+9274+165+214+2743</f>
        <v>34544</v>
      </c>
      <c r="K23" s="16">
        <f>204+47+21+21+115+2+1+28</f>
        <v>439</v>
      </c>
      <c r="L23" s="16">
        <f>272+66+45+28+136+2+0+34</f>
        <v>583</v>
      </c>
      <c r="M23" s="16">
        <f t="shared" si="9"/>
        <v>-144</v>
      </c>
      <c r="N23" s="16">
        <v>52</v>
      </c>
      <c r="O23" s="16">
        <v>391</v>
      </c>
      <c r="P23" s="16">
        <v>61</v>
      </c>
      <c r="Q23" s="16">
        <f t="shared" si="10"/>
        <v>330</v>
      </c>
      <c r="R23" s="16">
        <f t="shared" si="11"/>
        <v>68024</v>
      </c>
      <c r="S23" s="16">
        <f t="shared" si="11"/>
        <v>1291</v>
      </c>
      <c r="T23" s="16">
        <f t="shared" si="11"/>
        <v>1129</v>
      </c>
      <c r="U23" s="16">
        <f t="shared" si="11"/>
        <v>162</v>
      </c>
    </row>
    <row r="24" spans="1:21" ht="11.25">
      <c r="A24" s="17" t="s">
        <v>71</v>
      </c>
      <c r="B24" s="23">
        <f>10037+21</f>
        <v>10058</v>
      </c>
      <c r="C24" s="17">
        <f>322+0</f>
        <v>322</v>
      </c>
      <c r="D24" s="17">
        <f>269+0</f>
        <v>269</v>
      </c>
      <c r="E24" s="17">
        <f t="shared" si="7"/>
        <v>53</v>
      </c>
      <c r="F24" s="16">
        <f>46+11972+24+11453</f>
        <v>23495</v>
      </c>
      <c r="G24" s="16">
        <f>0+243+0+433</f>
        <v>676</v>
      </c>
      <c r="H24" s="23">
        <f>1+350+1+397</f>
        <v>749</v>
      </c>
      <c r="I24" s="16">
        <f t="shared" si="8"/>
        <v>-73</v>
      </c>
      <c r="J24" s="16">
        <f>14918+2696+3045+1342+9375+167+211+2755</f>
        <v>34509</v>
      </c>
      <c r="K24" s="16">
        <f>336+73+28+31+179+5+1+46</f>
        <v>699</v>
      </c>
      <c r="L24" s="16">
        <f>533+123+77+48+247+6+6+60</f>
        <v>1100</v>
      </c>
      <c r="M24" s="16">
        <f t="shared" si="9"/>
        <v>-401</v>
      </c>
      <c r="N24" s="16">
        <v>75</v>
      </c>
      <c r="O24" s="16">
        <v>488</v>
      </c>
      <c r="P24" s="16">
        <v>78</v>
      </c>
      <c r="Q24" s="16">
        <f t="shared" si="10"/>
        <v>410</v>
      </c>
      <c r="R24" s="16">
        <f t="shared" si="11"/>
        <v>68137</v>
      </c>
      <c r="S24" s="16">
        <f t="shared" si="11"/>
        <v>2185</v>
      </c>
      <c r="T24" s="16">
        <f t="shared" si="11"/>
        <v>2196</v>
      </c>
      <c r="U24" s="16">
        <f t="shared" si="11"/>
        <v>-11</v>
      </c>
    </row>
    <row r="25" spans="1:21" ht="11.25">
      <c r="A25" s="17" t="s">
        <v>15</v>
      </c>
      <c r="B25" s="23">
        <f>10154+21</f>
        <v>10175</v>
      </c>
      <c r="C25" s="17">
        <f>170+0</f>
        <v>170</v>
      </c>
      <c r="D25" s="17">
        <f>63+0</f>
        <v>63</v>
      </c>
      <c r="E25" s="17">
        <f t="shared" si="7"/>
        <v>107</v>
      </c>
      <c r="F25" s="16">
        <f>46+12051+26+11720</f>
        <v>23843</v>
      </c>
      <c r="G25" s="16">
        <f>0+225+1+449</f>
        <v>675</v>
      </c>
      <c r="H25" s="23">
        <f>1+210+0+257</f>
        <v>468</v>
      </c>
      <c r="I25" s="16">
        <f t="shared" si="8"/>
        <v>207</v>
      </c>
      <c r="J25" s="16">
        <f>15001+2715+3032+1346+9500+169+210+2780</f>
        <v>34753</v>
      </c>
      <c r="K25" s="16">
        <f>234+48+38+31+123+2+0+41</f>
        <v>517</v>
      </c>
      <c r="L25" s="16">
        <f>245+74+55+27+95+1+1+36</f>
        <v>534</v>
      </c>
      <c r="M25" s="16">
        <f t="shared" si="9"/>
        <v>-17</v>
      </c>
      <c r="N25" s="16">
        <v>54</v>
      </c>
      <c r="O25" s="16">
        <v>355</v>
      </c>
      <c r="P25" s="16">
        <v>42</v>
      </c>
      <c r="Q25" s="16">
        <f t="shared" si="10"/>
        <v>313</v>
      </c>
      <c r="R25" s="16">
        <f t="shared" si="11"/>
        <v>68825</v>
      </c>
      <c r="S25" s="16">
        <f t="shared" si="11"/>
        <v>1717</v>
      </c>
      <c r="T25" s="16">
        <f t="shared" si="11"/>
        <v>1107</v>
      </c>
      <c r="U25" s="16">
        <f t="shared" si="11"/>
        <v>610</v>
      </c>
    </row>
    <row r="26" spans="1:21" ht="11.25">
      <c r="A26" s="17" t="s">
        <v>16</v>
      </c>
      <c r="B26" s="23">
        <f>10149+21</f>
        <v>10170</v>
      </c>
      <c r="C26" s="17">
        <f>66+0</f>
        <v>66</v>
      </c>
      <c r="D26" s="17">
        <f>75+0</f>
        <v>75</v>
      </c>
      <c r="E26" s="17">
        <f t="shared" si="7"/>
        <v>-9</v>
      </c>
      <c r="F26" s="16">
        <f>46+11999+26+11705</f>
        <v>23776</v>
      </c>
      <c r="G26" s="16">
        <f>0+141+0+242</f>
        <v>383</v>
      </c>
      <c r="H26" s="23">
        <f>0+206+0+300</f>
        <v>506</v>
      </c>
      <c r="I26" s="16">
        <f t="shared" si="8"/>
        <v>-123</v>
      </c>
      <c r="J26" s="16">
        <f>15060+2739+3023+1357+9560+0+173+215+2778</f>
        <v>34905</v>
      </c>
      <c r="K26" s="16">
        <f>203+43+24+18+106+0+1+0+20</f>
        <v>415</v>
      </c>
      <c r="L26" s="16">
        <f>208+57+45+19+110+0+2+0+26</f>
        <v>467</v>
      </c>
      <c r="M26" s="16">
        <f t="shared" si="9"/>
        <v>-52</v>
      </c>
      <c r="N26" s="16">
        <v>52</v>
      </c>
      <c r="O26" s="16">
        <v>233</v>
      </c>
      <c r="P26" s="16">
        <v>44</v>
      </c>
      <c r="Q26" s="16">
        <f t="shared" si="10"/>
        <v>189</v>
      </c>
      <c r="R26" s="16">
        <f t="shared" si="11"/>
        <v>68903</v>
      </c>
      <c r="S26" s="16">
        <f t="shared" si="11"/>
        <v>1097</v>
      </c>
      <c r="T26" s="16">
        <f t="shared" si="11"/>
        <v>1092</v>
      </c>
      <c r="U26" s="16">
        <f t="shared" si="11"/>
        <v>5</v>
      </c>
    </row>
    <row r="27" spans="1:21" ht="11.25">
      <c r="A27" s="17" t="s">
        <v>17</v>
      </c>
      <c r="B27" s="23">
        <f>10109+21</f>
        <v>10130</v>
      </c>
      <c r="C27" s="17">
        <f>40+0</f>
        <v>40</v>
      </c>
      <c r="D27" s="17">
        <f>91+0</f>
        <v>91</v>
      </c>
      <c r="E27" s="17">
        <f t="shared" si="7"/>
        <v>-51</v>
      </c>
      <c r="F27" s="16">
        <f>44+11869+27+11612</f>
        <v>23552</v>
      </c>
      <c r="G27" s="16">
        <f>0+148+0+222</f>
        <v>370</v>
      </c>
      <c r="H27" s="23">
        <f>4+393+0+374</f>
        <v>771</v>
      </c>
      <c r="I27" s="16">
        <f t="shared" si="8"/>
        <v>-401</v>
      </c>
      <c r="J27" s="16">
        <f>14983+2724+2974+1358+9516+0+175+212+2754</f>
        <v>34696</v>
      </c>
      <c r="K27" s="16">
        <f>190+45+22+27+105+0+2+0+24</f>
        <v>415</v>
      </c>
      <c r="L27" s="16">
        <f>332+112+70+33+213+0+2+4+75</f>
        <v>841</v>
      </c>
      <c r="M27" s="16">
        <f t="shared" si="9"/>
        <v>-426</v>
      </c>
      <c r="N27" s="16">
        <v>47</v>
      </c>
      <c r="O27" s="16">
        <v>329</v>
      </c>
      <c r="P27" s="16">
        <v>88</v>
      </c>
      <c r="Q27" s="16">
        <f t="shared" si="10"/>
        <v>241</v>
      </c>
      <c r="R27" s="16">
        <f t="shared" si="11"/>
        <v>68425</v>
      </c>
      <c r="S27" s="16">
        <f t="shared" si="11"/>
        <v>1154</v>
      </c>
      <c r="T27" s="16">
        <f t="shared" si="11"/>
        <v>1791</v>
      </c>
      <c r="U27" s="16">
        <f t="shared" si="11"/>
        <v>-637</v>
      </c>
    </row>
    <row r="28" spans="1:21" ht="11.25">
      <c r="A28" s="17" t="s">
        <v>73</v>
      </c>
      <c r="B28" s="23">
        <f>9981+19</f>
        <v>10000</v>
      </c>
      <c r="C28" s="17">
        <f>129+0</f>
        <v>129</v>
      </c>
      <c r="D28" s="17">
        <f>281+1</f>
        <v>282</v>
      </c>
      <c r="E28" s="17">
        <f t="shared" si="7"/>
        <v>-153</v>
      </c>
      <c r="F28" s="16">
        <f>46+12162+27+11665</f>
        <v>23900</v>
      </c>
      <c r="G28" s="16">
        <f>0+181+1+315</f>
        <v>497</v>
      </c>
      <c r="H28" s="23">
        <f>1+404+2+410</f>
        <v>817</v>
      </c>
      <c r="I28" s="16">
        <f t="shared" si="8"/>
        <v>-320</v>
      </c>
      <c r="J28" s="16">
        <f>15094+2794+2977+1353+9728+182+210+2750</f>
        <v>35088</v>
      </c>
      <c r="K28" s="16">
        <f>323+61+23+19+191+7+0+47</f>
        <v>671</v>
      </c>
      <c r="L28" s="16">
        <f>555+98+77+55+258+1+4+82</f>
        <v>1130</v>
      </c>
      <c r="M28" s="16">
        <f t="shared" si="9"/>
        <v>-459</v>
      </c>
      <c r="N28" s="16">
        <f>68</f>
        <v>68</v>
      </c>
      <c r="O28" s="16">
        <f>386</f>
        <v>386</v>
      </c>
      <c r="P28" s="16">
        <f>98</f>
        <v>98</v>
      </c>
      <c r="Q28" s="16">
        <f t="shared" si="10"/>
        <v>288</v>
      </c>
      <c r="R28" s="16">
        <f t="shared" si="11"/>
        <v>69056</v>
      </c>
      <c r="S28" s="16">
        <f t="shared" si="11"/>
        <v>1683</v>
      </c>
      <c r="T28" s="16">
        <f t="shared" si="11"/>
        <v>2327</v>
      </c>
      <c r="U28" s="16">
        <f t="shared" si="11"/>
        <v>-644</v>
      </c>
    </row>
    <row r="29" spans="1:21" ht="11.25">
      <c r="A29" s="17" t="s">
        <v>15</v>
      </c>
      <c r="B29" s="23">
        <f>9945+17</f>
        <v>9962</v>
      </c>
      <c r="C29" s="17">
        <f>77+0</f>
        <v>77</v>
      </c>
      <c r="D29" s="17">
        <f>122+2</f>
        <v>124</v>
      </c>
      <c r="E29" s="17">
        <f t="shared" si="7"/>
        <v>-47</v>
      </c>
      <c r="F29" s="16">
        <f>42+12196+26+11724</f>
        <v>23988</v>
      </c>
      <c r="G29" s="16">
        <f>0+242+0+373</f>
        <v>615</v>
      </c>
      <c r="H29" s="23">
        <f>2+346+1+352</f>
        <v>701</v>
      </c>
      <c r="I29" s="16">
        <f t="shared" si="8"/>
        <v>-86</v>
      </c>
      <c r="J29" s="16">
        <f>15144+2817+2941+1348+9767+186+214+2760</f>
        <v>35177</v>
      </c>
      <c r="K29" s="16">
        <f>247+47+15+26+127+1+0+41</f>
        <v>504</v>
      </c>
      <c r="L29" s="16">
        <f>362+81+77+49+183+2+4+52</f>
        <v>810</v>
      </c>
      <c r="M29" s="16">
        <f t="shared" si="9"/>
        <v>-306</v>
      </c>
      <c r="N29" s="16">
        <v>68</v>
      </c>
      <c r="O29" s="16">
        <f>332</f>
        <v>332</v>
      </c>
      <c r="P29" s="16">
        <f>40</f>
        <v>40</v>
      </c>
      <c r="Q29" s="16">
        <f t="shared" si="10"/>
        <v>292</v>
      </c>
      <c r="R29" s="16">
        <f aca="true" t="shared" si="12" ref="R29:U35">F29+J29+N29+B29</f>
        <v>69195</v>
      </c>
      <c r="S29" s="16">
        <f t="shared" si="12"/>
        <v>1528</v>
      </c>
      <c r="T29" s="16">
        <f t="shared" si="12"/>
        <v>1675</v>
      </c>
      <c r="U29" s="16">
        <f t="shared" si="12"/>
        <v>-147</v>
      </c>
    </row>
    <row r="30" spans="1:21" ht="11.25">
      <c r="A30" s="17" t="s">
        <v>16</v>
      </c>
      <c r="B30" s="23">
        <f>9905+17</f>
        <v>9922</v>
      </c>
      <c r="C30" s="17">
        <f>60+0</f>
        <v>60</v>
      </c>
      <c r="D30" s="17">
        <f>107+0</f>
        <v>107</v>
      </c>
      <c r="E30" s="17">
        <f t="shared" si="7"/>
        <v>-47</v>
      </c>
      <c r="F30" s="16">
        <f>42+12223+26+11737</f>
        <v>24028</v>
      </c>
      <c r="G30" s="16">
        <f>0+159+0+231</f>
        <v>390</v>
      </c>
      <c r="H30" s="23">
        <f>1+215+0+267</f>
        <v>483</v>
      </c>
      <c r="I30" s="16">
        <f t="shared" si="8"/>
        <v>-93</v>
      </c>
      <c r="J30" s="16">
        <f>15147+2825+2927+1354+9821+187+210+2758</f>
        <v>35229</v>
      </c>
      <c r="K30" s="16">
        <f>223+43+25+26+104+3+0+25</f>
        <v>449</v>
      </c>
      <c r="L30" s="16">
        <f>318+86+45+32+136+3+3+43</f>
        <v>666</v>
      </c>
      <c r="M30" s="16">
        <f t="shared" si="9"/>
        <v>-217</v>
      </c>
      <c r="N30" s="16">
        <v>74</v>
      </c>
      <c r="O30" s="16">
        <v>244</v>
      </c>
      <c r="P30" s="16">
        <v>91</v>
      </c>
      <c r="Q30" s="16">
        <f t="shared" si="10"/>
        <v>153</v>
      </c>
      <c r="R30" s="16">
        <f t="shared" si="12"/>
        <v>69253</v>
      </c>
      <c r="S30" s="16">
        <f t="shared" si="12"/>
        <v>1143</v>
      </c>
      <c r="T30" s="16">
        <f t="shared" si="12"/>
        <v>1347</v>
      </c>
      <c r="U30" s="16">
        <f t="shared" si="12"/>
        <v>-204</v>
      </c>
    </row>
    <row r="31" spans="1:21" ht="11.25">
      <c r="A31" s="17" t="s">
        <v>17</v>
      </c>
      <c r="B31" s="23">
        <v>9898</v>
      </c>
      <c r="C31" s="17">
        <v>44</v>
      </c>
      <c r="D31" s="17">
        <v>86</v>
      </c>
      <c r="E31" s="17">
        <f t="shared" si="7"/>
        <v>-42</v>
      </c>
      <c r="F31" s="16">
        <v>23817</v>
      </c>
      <c r="G31" s="16">
        <v>289</v>
      </c>
      <c r="H31" s="23">
        <v>575</v>
      </c>
      <c r="I31" s="16">
        <f t="shared" si="8"/>
        <v>-286</v>
      </c>
      <c r="J31" s="16">
        <v>35091</v>
      </c>
      <c r="K31" s="16">
        <v>414</v>
      </c>
      <c r="L31" s="16">
        <v>754</v>
      </c>
      <c r="M31" s="16">
        <f t="shared" si="9"/>
        <v>-340</v>
      </c>
      <c r="N31" s="16">
        <v>65</v>
      </c>
      <c r="O31" s="16">
        <v>254</v>
      </c>
      <c r="P31" s="16">
        <v>81</v>
      </c>
      <c r="Q31" s="16">
        <f t="shared" si="10"/>
        <v>173</v>
      </c>
      <c r="R31" s="16">
        <f t="shared" si="12"/>
        <v>68871</v>
      </c>
      <c r="S31" s="16">
        <f t="shared" si="12"/>
        <v>1001</v>
      </c>
      <c r="T31" s="16">
        <f t="shared" si="12"/>
        <v>1496</v>
      </c>
      <c r="U31" s="16">
        <f t="shared" si="12"/>
        <v>-495</v>
      </c>
    </row>
    <row r="32" spans="1:21" ht="11.25">
      <c r="A32" s="17" t="s">
        <v>77</v>
      </c>
      <c r="B32" s="23">
        <f>9754+17</f>
        <v>9771</v>
      </c>
      <c r="C32" s="17">
        <v>101</v>
      </c>
      <c r="D32" s="17">
        <v>232</v>
      </c>
      <c r="E32" s="17">
        <f t="shared" si="7"/>
        <v>-131</v>
      </c>
      <c r="F32" s="16">
        <f>38+12025+27+11626</f>
        <v>23716</v>
      </c>
      <c r="G32" s="16">
        <f>221+316</f>
        <v>537</v>
      </c>
      <c r="H32" s="23">
        <f>354+398+2</f>
        <v>754</v>
      </c>
      <c r="I32" s="16">
        <f t="shared" si="8"/>
        <v>-217</v>
      </c>
      <c r="J32" s="16">
        <f>14946+2822+2861+1346+9872+183+221+2753</f>
        <v>35004</v>
      </c>
      <c r="K32" s="16">
        <f>292+58+30+29+199+3+4+56</f>
        <v>671</v>
      </c>
      <c r="L32" s="16">
        <f>479+80+77+48+282+8+3+67</f>
        <v>1044</v>
      </c>
      <c r="M32" s="16">
        <f t="shared" si="9"/>
        <v>-373</v>
      </c>
      <c r="N32" s="16">
        <v>84</v>
      </c>
      <c r="O32" s="16">
        <v>294</v>
      </c>
      <c r="P32" s="16">
        <v>53</v>
      </c>
      <c r="Q32" s="16">
        <f t="shared" si="10"/>
        <v>241</v>
      </c>
      <c r="R32" s="16">
        <f t="shared" si="12"/>
        <v>68575</v>
      </c>
      <c r="S32" s="16">
        <f t="shared" si="12"/>
        <v>1603</v>
      </c>
      <c r="T32" s="16">
        <f t="shared" si="12"/>
        <v>2083</v>
      </c>
      <c r="U32" s="16">
        <f t="shared" si="12"/>
        <v>-480</v>
      </c>
    </row>
    <row r="33" spans="1:21" ht="11.25">
      <c r="A33" s="17" t="s">
        <v>15</v>
      </c>
      <c r="B33" s="23">
        <f>9779+17</f>
        <v>9796</v>
      </c>
      <c r="C33" s="17">
        <v>69</v>
      </c>
      <c r="D33" s="17">
        <v>65</v>
      </c>
      <c r="E33" s="17">
        <f t="shared" si="7"/>
        <v>4</v>
      </c>
      <c r="F33" s="16">
        <f>39+11980+31+11569</f>
        <v>23619</v>
      </c>
      <c r="G33" s="16">
        <f>153+3+257</f>
        <v>413</v>
      </c>
      <c r="H33" s="23">
        <f>196+321</f>
        <v>517</v>
      </c>
      <c r="I33" s="16">
        <f t="shared" si="8"/>
        <v>-104</v>
      </c>
      <c r="J33" s="16">
        <f>15079+2826+2838+1350+9944+187+224+2780</f>
        <v>35228</v>
      </c>
      <c r="K33" s="16">
        <f>246+39+18+16+104+1+50</f>
        <v>474</v>
      </c>
      <c r="L33" s="16">
        <f>169+48+48+17+106+2+29</f>
        <v>419</v>
      </c>
      <c r="M33" s="16">
        <f t="shared" si="9"/>
        <v>55</v>
      </c>
      <c r="N33" s="16">
        <v>71</v>
      </c>
      <c r="O33" s="16">
        <v>258</v>
      </c>
      <c r="P33" s="16">
        <v>23</v>
      </c>
      <c r="Q33" s="16">
        <f t="shared" si="10"/>
        <v>235</v>
      </c>
      <c r="R33" s="16">
        <f t="shared" si="12"/>
        <v>68714</v>
      </c>
      <c r="S33" s="16">
        <f t="shared" si="12"/>
        <v>1214</v>
      </c>
      <c r="T33" s="16">
        <f t="shared" si="12"/>
        <v>1024</v>
      </c>
      <c r="U33" s="16">
        <f t="shared" si="12"/>
        <v>190</v>
      </c>
    </row>
    <row r="34" spans="1:21" ht="11.25">
      <c r="A34" s="17" t="s">
        <v>16</v>
      </c>
      <c r="B34" s="23">
        <v>9758</v>
      </c>
      <c r="C34" s="17">
        <v>30</v>
      </c>
      <c r="D34" s="17">
        <v>80</v>
      </c>
      <c r="E34" s="17">
        <f t="shared" si="7"/>
        <v>-50</v>
      </c>
      <c r="F34" s="16">
        <v>23517</v>
      </c>
      <c r="G34" s="16">
        <v>290</v>
      </c>
      <c r="H34" s="23">
        <v>387</v>
      </c>
      <c r="I34" s="16">
        <f t="shared" si="8"/>
        <v>-97</v>
      </c>
      <c r="J34" s="16">
        <v>35296</v>
      </c>
      <c r="K34" s="16">
        <v>397</v>
      </c>
      <c r="L34" s="16">
        <v>455</v>
      </c>
      <c r="M34" s="16">
        <f t="shared" si="9"/>
        <v>-58</v>
      </c>
      <c r="N34" s="16">
        <v>97</v>
      </c>
      <c r="O34" s="16">
        <v>263</v>
      </c>
      <c r="P34" s="16">
        <v>44</v>
      </c>
      <c r="Q34" s="16">
        <f t="shared" si="10"/>
        <v>219</v>
      </c>
      <c r="R34" s="16">
        <f t="shared" si="12"/>
        <v>68668</v>
      </c>
      <c r="S34" s="16">
        <f t="shared" si="12"/>
        <v>980</v>
      </c>
      <c r="T34" s="16">
        <f t="shared" si="12"/>
        <v>966</v>
      </c>
      <c r="U34" s="16">
        <f t="shared" si="12"/>
        <v>14</v>
      </c>
    </row>
    <row r="35" spans="1:21" ht="11.25">
      <c r="A35" s="17" t="s">
        <v>17</v>
      </c>
      <c r="B35" s="23">
        <v>9729</v>
      </c>
      <c r="C35" s="17">
        <v>35</v>
      </c>
      <c r="D35" s="17">
        <v>77</v>
      </c>
      <c r="E35" s="17">
        <f t="shared" si="7"/>
        <v>-42</v>
      </c>
      <c r="F35" s="16">
        <v>23153</v>
      </c>
      <c r="G35" s="16">
        <v>335</v>
      </c>
      <c r="H35" s="23">
        <v>710</v>
      </c>
      <c r="I35" s="16">
        <f t="shared" si="8"/>
        <v>-375</v>
      </c>
      <c r="J35" s="16">
        <v>35154</v>
      </c>
      <c r="K35" s="16">
        <v>432</v>
      </c>
      <c r="L35" s="16">
        <v>784</v>
      </c>
      <c r="M35" s="16">
        <f t="shared" si="9"/>
        <v>-352</v>
      </c>
      <c r="N35" s="16">
        <v>96</v>
      </c>
      <c r="O35" s="16">
        <v>321</v>
      </c>
      <c r="P35" s="16">
        <v>70</v>
      </c>
      <c r="Q35" s="16">
        <f t="shared" si="10"/>
        <v>251</v>
      </c>
      <c r="R35" s="16">
        <f t="shared" si="12"/>
        <v>68132</v>
      </c>
      <c r="S35" s="16">
        <f t="shared" si="12"/>
        <v>1123</v>
      </c>
      <c r="T35" s="16">
        <f t="shared" si="12"/>
        <v>1641</v>
      </c>
      <c r="U35" s="16">
        <f t="shared" si="12"/>
        <v>-518</v>
      </c>
    </row>
    <row r="36" spans="1:21" ht="11.25">
      <c r="A36" s="17"/>
      <c r="B36" s="17"/>
      <c r="C36" s="17"/>
      <c r="D36" s="17"/>
      <c r="E36" s="17"/>
      <c r="F36" s="16"/>
      <c r="G36" s="16"/>
      <c r="H36" s="23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</row>
    <row r="37" spans="1:21" ht="11.25">
      <c r="A37" s="18" t="s">
        <v>32</v>
      </c>
      <c r="S37" s="26"/>
      <c r="T37" s="26"/>
      <c r="U37" s="26"/>
    </row>
    <row r="38" ht="11.25">
      <c r="A38" s="18" t="s">
        <v>96</v>
      </c>
    </row>
    <row r="39" ht="11.25">
      <c r="A39" s="18" t="s">
        <v>34</v>
      </c>
    </row>
    <row r="40" ht="11.25">
      <c r="A40" s="18" t="s">
        <v>35</v>
      </c>
    </row>
    <row r="41" ht="11.25">
      <c r="A41" s="18" t="s">
        <v>75</v>
      </c>
    </row>
    <row r="42" spans="18:20" ht="11.25">
      <c r="R42" s="16"/>
      <c r="S42" s="16"/>
      <c r="T42" s="16"/>
    </row>
    <row r="44" spans="18:20" ht="11.25">
      <c r="R44" s="26"/>
      <c r="T44" s="26"/>
    </row>
  </sheetData>
  <sheetProtection/>
  <printOptions/>
  <pageMargins left="0.3937007874015748" right="0.3937007874015748" top="0.7874015748031497" bottom="0.5905511811023623" header="0.11811023622047245" footer="0.11811023622047245"/>
  <pageSetup fitToHeight="1" fitToWidth="1" horizontalDpi="300" verticalDpi="300" orientation="landscape" paperSize="9" scale="81" r:id="rId2"/>
  <headerFooter alignWithMargins="0">
    <oddFooter>&amp;CRdmov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64"/>
  <sheetViews>
    <sheetView showGridLines="0"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F3" sqref="F3"/>
    </sheetView>
  </sheetViews>
  <sheetFormatPr defaultColWidth="9.140625" defaultRowHeight="12.75"/>
  <cols>
    <col min="1" max="1" width="12.421875" style="18" customWidth="1"/>
    <col min="2" max="2" width="9.00390625" style="18" customWidth="1"/>
    <col min="3" max="3" width="9.140625" style="18" customWidth="1"/>
    <col min="4" max="4" width="7.8515625" style="18" customWidth="1"/>
    <col min="5" max="5" width="9.28125" style="18" customWidth="1"/>
    <col min="6" max="7" width="7.8515625" style="18" customWidth="1"/>
    <col min="8" max="8" width="7.7109375" style="18" customWidth="1"/>
    <col min="9" max="9" width="9.140625" style="18" customWidth="1"/>
    <col min="10" max="17" width="7.8515625" style="18" customWidth="1"/>
    <col min="18" max="21" width="7.7109375" style="18" customWidth="1"/>
    <col min="22" max="16384" width="9.140625" style="18" customWidth="1"/>
  </cols>
  <sheetData>
    <row r="1" spans="1:21" ht="21" customHeight="1">
      <c r="A1" s="29" t="s">
        <v>67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3" spans="1:21" s="6" customFormat="1" ht="11.25">
      <c r="A3" s="1" t="s">
        <v>0</v>
      </c>
      <c r="B3" s="2" t="s">
        <v>63</v>
      </c>
      <c r="C3" s="2"/>
      <c r="D3" s="2"/>
      <c r="E3" s="2"/>
      <c r="F3" s="19" t="s">
        <v>64</v>
      </c>
      <c r="G3" s="20"/>
      <c r="H3" s="3"/>
      <c r="I3" s="21"/>
      <c r="J3" s="20" t="s">
        <v>65</v>
      </c>
      <c r="K3" s="20"/>
      <c r="L3" s="3"/>
      <c r="M3" s="21"/>
      <c r="N3" s="20" t="s">
        <v>66</v>
      </c>
      <c r="O3" s="20"/>
      <c r="P3" s="3"/>
      <c r="Q3" s="21"/>
      <c r="R3" s="20" t="s">
        <v>1</v>
      </c>
      <c r="S3" s="20"/>
      <c r="T3" s="3"/>
      <c r="U3" s="21"/>
    </row>
    <row r="4" spans="1:21" s="13" customFormat="1" ht="27" customHeight="1">
      <c r="A4" s="7"/>
      <c r="B4" s="8" t="s">
        <v>2</v>
      </c>
      <c r="C4" s="8" t="s">
        <v>3</v>
      </c>
      <c r="D4" s="8" t="s">
        <v>4</v>
      </c>
      <c r="E4" s="8" t="s">
        <v>5</v>
      </c>
      <c r="F4" s="8" t="s">
        <v>2</v>
      </c>
      <c r="G4" s="8" t="s">
        <v>3</v>
      </c>
      <c r="H4" s="8" t="s">
        <v>4</v>
      </c>
      <c r="I4" s="8" t="s">
        <v>5</v>
      </c>
      <c r="J4" s="9" t="s">
        <v>2</v>
      </c>
      <c r="K4" s="8" t="s">
        <v>3</v>
      </c>
      <c r="L4" s="8" t="s">
        <v>4</v>
      </c>
      <c r="M4" s="8" t="s">
        <v>5</v>
      </c>
      <c r="N4" s="9" t="s">
        <v>2</v>
      </c>
      <c r="O4" s="8" t="s">
        <v>3</v>
      </c>
      <c r="P4" s="8" t="s">
        <v>4</v>
      </c>
      <c r="Q4" s="8" t="s">
        <v>5</v>
      </c>
      <c r="R4" s="9" t="s">
        <v>2</v>
      </c>
      <c r="S4" s="8" t="s">
        <v>3</v>
      </c>
      <c r="T4" s="8" t="s">
        <v>4</v>
      </c>
      <c r="U4" s="12" t="s">
        <v>5</v>
      </c>
    </row>
    <row r="5" spans="1:21" s="24" customFormat="1" ht="11.25">
      <c r="A5" s="22" t="s">
        <v>6</v>
      </c>
      <c r="B5" s="31">
        <f>837+8</f>
        <v>845</v>
      </c>
      <c r="C5" s="23">
        <f>41</f>
        <v>41</v>
      </c>
      <c r="D5" s="23">
        <f>56+1</f>
        <v>57</v>
      </c>
      <c r="E5" s="31">
        <v>-16</v>
      </c>
      <c r="F5" s="15">
        <f>59+12974+10+6668</f>
        <v>19711</v>
      </c>
      <c r="G5" s="15">
        <f>1+1006+3+933</f>
        <v>1943</v>
      </c>
      <c r="H5" s="15">
        <f>500+839+6</f>
        <v>1345</v>
      </c>
      <c r="I5" s="23">
        <f aca="true" t="shared" si="0" ref="I5:I13">G5-H5</f>
        <v>598</v>
      </c>
      <c r="J5" s="15">
        <v>28765</v>
      </c>
      <c r="K5" s="15">
        <v>2661</v>
      </c>
      <c r="L5" s="15">
        <v>2146</v>
      </c>
      <c r="M5" s="23">
        <f aca="true" t="shared" si="1" ref="M5:M13">K5-L5</f>
        <v>515</v>
      </c>
      <c r="N5" s="15">
        <v>30</v>
      </c>
      <c r="O5" s="15">
        <v>19</v>
      </c>
      <c r="P5" s="15">
        <v>3</v>
      </c>
      <c r="Q5" s="23">
        <f aca="true" t="shared" si="2" ref="Q5:Q13">O5-P5</f>
        <v>16</v>
      </c>
      <c r="R5" s="23">
        <f aca="true" t="shared" si="3" ref="R5:U12">F5+J5+N5+B5</f>
        <v>49351</v>
      </c>
      <c r="S5" s="23">
        <f t="shared" si="3"/>
        <v>4664</v>
      </c>
      <c r="T5" s="23">
        <f t="shared" si="3"/>
        <v>3551</v>
      </c>
      <c r="U5" s="23">
        <f t="shared" si="3"/>
        <v>1113</v>
      </c>
    </row>
    <row r="6" spans="1:21" s="24" customFormat="1" ht="11.25">
      <c r="A6" s="22" t="s">
        <v>7</v>
      </c>
      <c r="B6" s="31">
        <f>1388+11</f>
        <v>1399</v>
      </c>
      <c r="C6" s="23">
        <v>576</v>
      </c>
      <c r="D6" s="23">
        <v>64</v>
      </c>
      <c r="E6" s="31">
        <f aca="true" t="shared" si="4" ref="E6:E13">C6-D6</f>
        <v>512</v>
      </c>
      <c r="F6" s="23">
        <f>58+12882+10+6942</f>
        <v>19892</v>
      </c>
      <c r="G6" s="23">
        <f>670+1+726</f>
        <v>1397</v>
      </c>
      <c r="H6" s="23">
        <f>1+823+550</f>
        <v>1374</v>
      </c>
      <c r="I6" s="23">
        <f t="shared" si="0"/>
        <v>23</v>
      </c>
      <c r="J6" s="23">
        <f>14721+2199+2849+1091+5333+109+144+2565</f>
        <v>29011</v>
      </c>
      <c r="K6" s="23">
        <f>826+155+220+100+554+9+21+120</f>
        <v>2005</v>
      </c>
      <c r="L6" s="23">
        <f>1143+211+231+119+448+8+9+164</f>
        <v>2333</v>
      </c>
      <c r="M6" s="23">
        <f t="shared" si="1"/>
        <v>-328</v>
      </c>
      <c r="N6" s="23">
        <v>54</v>
      </c>
      <c r="O6" s="23">
        <v>1010</v>
      </c>
      <c r="P6" s="23">
        <v>55</v>
      </c>
      <c r="Q6" s="23">
        <f t="shared" si="2"/>
        <v>955</v>
      </c>
      <c r="R6" s="23">
        <f t="shared" si="3"/>
        <v>50356</v>
      </c>
      <c r="S6" s="23">
        <f t="shared" si="3"/>
        <v>4988</v>
      </c>
      <c r="T6" s="23">
        <f t="shared" si="3"/>
        <v>3826</v>
      </c>
      <c r="U6" s="23">
        <f t="shared" si="3"/>
        <v>1162</v>
      </c>
    </row>
    <row r="7" spans="1:21" s="24" customFormat="1" ht="11.25">
      <c r="A7" s="22" t="s">
        <v>8</v>
      </c>
      <c r="B7" s="32">
        <f>13637+33</f>
        <v>13670</v>
      </c>
      <c r="C7" s="32">
        <f>13151+25</f>
        <v>13176</v>
      </c>
      <c r="D7" s="32">
        <f>926+3</f>
        <v>929</v>
      </c>
      <c r="E7" s="31">
        <f t="shared" si="4"/>
        <v>12247</v>
      </c>
      <c r="F7" s="32">
        <f>55+12678+13+7169</f>
        <v>19915</v>
      </c>
      <c r="G7" s="32">
        <f>687+3+726</f>
        <v>1416</v>
      </c>
      <c r="H7" s="32">
        <f>629+938+3</f>
        <v>1570</v>
      </c>
      <c r="I7" s="23">
        <f t="shared" si="0"/>
        <v>-154</v>
      </c>
      <c r="J7" s="32">
        <f>14668+2212+2882+1126+5527+115+144+2597</f>
        <v>29271</v>
      </c>
      <c r="K7" s="32">
        <f>726+115+213+122+351+5+6+117</f>
        <v>1655</v>
      </c>
      <c r="L7" s="32">
        <f>1016+185+198+109+417+8+13+137</f>
        <v>2083</v>
      </c>
      <c r="M7" s="23">
        <f t="shared" si="1"/>
        <v>-428</v>
      </c>
      <c r="N7" s="15">
        <v>75</v>
      </c>
      <c r="O7" s="32">
        <v>1204</v>
      </c>
      <c r="P7" s="15">
        <v>142</v>
      </c>
      <c r="Q7" s="23">
        <f t="shared" si="2"/>
        <v>1062</v>
      </c>
      <c r="R7" s="23">
        <f t="shared" si="3"/>
        <v>62931</v>
      </c>
      <c r="S7" s="23">
        <f t="shared" si="3"/>
        <v>17451</v>
      </c>
      <c r="T7" s="23">
        <f t="shared" si="3"/>
        <v>4724</v>
      </c>
      <c r="U7" s="23">
        <f t="shared" si="3"/>
        <v>12727</v>
      </c>
    </row>
    <row r="8" spans="1:21" s="24" customFormat="1" ht="11.25">
      <c r="A8" s="22" t="s">
        <v>9</v>
      </c>
      <c r="B8" s="32">
        <f>11945+31</f>
        <v>11976</v>
      </c>
      <c r="C8" s="32">
        <f>768+1</f>
        <v>769</v>
      </c>
      <c r="D8" s="32">
        <f>2464+4</f>
        <v>2468</v>
      </c>
      <c r="E8" s="31">
        <f t="shared" si="4"/>
        <v>-1699</v>
      </c>
      <c r="F8" s="32">
        <f>7521+15+12742+56</f>
        <v>20334</v>
      </c>
      <c r="G8" s="32">
        <f>1+713+742</f>
        <v>1456</v>
      </c>
      <c r="H8" s="32">
        <f>507+776+1</f>
        <v>1284</v>
      </c>
      <c r="I8" s="23">
        <f t="shared" si="0"/>
        <v>172</v>
      </c>
      <c r="J8" s="32">
        <f>14577+2237+2892+1173+5821+119+155+2614</f>
        <v>29588</v>
      </c>
      <c r="K8" s="32">
        <f>118+5+6+429+143+155+130+696</f>
        <v>1682</v>
      </c>
      <c r="L8" s="32">
        <f>956+170+181+97+382+8+9+149</f>
        <v>1952</v>
      </c>
      <c r="M8" s="23">
        <f t="shared" si="1"/>
        <v>-270</v>
      </c>
      <c r="N8" s="15">
        <v>107</v>
      </c>
      <c r="O8" s="32">
        <v>1181</v>
      </c>
      <c r="P8" s="15">
        <v>157</v>
      </c>
      <c r="Q8" s="23">
        <f t="shared" si="2"/>
        <v>1024</v>
      </c>
      <c r="R8" s="23">
        <f t="shared" si="3"/>
        <v>62005</v>
      </c>
      <c r="S8" s="23">
        <f t="shared" si="3"/>
        <v>5088</v>
      </c>
      <c r="T8" s="23">
        <f t="shared" si="3"/>
        <v>5861</v>
      </c>
      <c r="U8" s="23">
        <f t="shared" si="3"/>
        <v>-773</v>
      </c>
    </row>
    <row r="9" spans="1:21" s="24" customFormat="1" ht="11.25">
      <c r="A9" s="22" t="s">
        <v>10</v>
      </c>
      <c r="B9" s="32">
        <v>11823</v>
      </c>
      <c r="C9" s="32">
        <v>473</v>
      </c>
      <c r="D9" s="32">
        <v>669</v>
      </c>
      <c r="E9" s="31">
        <f t="shared" si="4"/>
        <v>-196</v>
      </c>
      <c r="F9" s="32">
        <v>20708</v>
      </c>
      <c r="G9" s="32">
        <f>658+816</f>
        <v>1474</v>
      </c>
      <c r="H9" s="32">
        <f>2+787+3+521</f>
        <v>1313</v>
      </c>
      <c r="I9" s="23">
        <f t="shared" si="0"/>
        <v>161</v>
      </c>
      <c r="J9" s="32">
        <v>30005</v>
      </c>
      <c r="K9" s="32">
        <f>773+113+201+157+419+5+6+97</f>
        <v>1771</v>
      </c>
      <c r="L9" s="32">
        <f>973+182+206+91+435+9+19+129</f>
        <v>2044</v>
      </c>
      <c r="M9" s="23">
        <f t="shared" si="1"/>
        <v>-273</v>
      </c>
      <c r="N9" s="15">
        <v>162</v>
      </c>
      <c r="O9" s="32">
        <v>1516</v>
      </c>
      <c r="P9" s="15">
        <v>226</v>
      </c>
      <c r="Q9" s="23">
        <f t="shared" si="2"/>
        <v>1290</v>
      </c>
      <c r="R9" s="23">
        <f t="shared" si="3"/>
        <v>62698</v>
      </c>
      <c r="S9" s="23">
        <f t="shared" si="3"/>
        <v>5234</v>
      </c>
      <c r="T9" s="23">
        <f t="shared" si="3"/>
        <v>4252</v>
      </c>
      <c r="U9" s="23">
        <f t="shared" si="3"/>
        <v>982</v>
      </c>
    </row>
    <row r="10" spans="1:21" s="24" customFormat="1" ht="11.25">
      <c r="A10" s="22" t="s">
        <v>11</v>
      </c>
      <c r="B10" s="32">
        <v>11619</v>
      </c>
      <c r="C10" s="32">
        <f>SUM(C36:C39)</f>
        <v>417</v>
      </c>
      <c r="D10" s="32">
        <f>SUM(D36:D39)</f>
        <v>670</v>
      </c>
      <c r="E10" s="31">
        <f t="shared" si="4"/>
        <v>-253</v>
      </c>
      <c r="F10" s="32">
        <v>21302</v>
      </c>
      <c r="G10" s="32">
        <f>SUM(G36:G39)</f>
        <v>1585</v>
      </c>
      <c r="H10" s="32">
        <f>SUM(H36:H39)</f>
        <v>1335</v>
      </c>
      <c r="I10" s="31">
        <f t="shared" si="0"/>
        <v>250</v>
      </c>
      <c r="J10" s="32">
        <v>30650</v>
      </c>
      <c r="K10" s="32">
        <f>SUM(K36:K39)</f>
        <v>2055</v>
      </c>
      <c r="L10" s="32">
        <f>SUM(L36:L39)</f>
        <v>2159</v>
      </c>
      <c r="M10" s="31">
        <f t="shared" si="1"/>
        <v>-104</v>
      </c>
      <c r="N10" s="15">
        <v>89</v>
      </c>
      <c r="O10" s="32">
        <f>SUM(O36:O39)</f>
        <v>1505</v>
      </c>
      <c r="P10" s="32">
        <f>SUM(P36:P39)</f>
        <v>229</v>
      </c>
      <c r="Q10" s="31">
        <f t="shared" si="2"/>
        <v>1276</v>
      </c>
      <c r="R10" s="23">
        <f t="shared" si="3"/>
        <v>63660</v>
      </c>
      <c r="S10" s="23">
        <f t="shared" si="3"/>
        <v>5562</v>
      </c>
      <c r="T10" s="23">
        <f t="shared" si="3"/>
        <v>4393</v>
      </c>
      <c r="U10" s="23">
        <f t="shared" si="3"/>
        <v>1169</v>
      </c>
    </row>
    <row r="11" spans="1:21" s="24" customFormat="1" ht="11.25">
      <c r="A11" s="22" t="s">
        <v>12</v>
      </c>
      <c r="B11" s="32">
        <f>11249+31</f>
        <v>11280</v>
      </c>
      <c r="C11" s="32">
        <f>369+1</f>
        <v>370</v>
      </c>
      <c r="D11" s="32">
        <v>724</v>
      </c>
      <c r="E11" s="31">
        <f t="shared" si="4"/>
        <v>-354</v>
      </c>
      <c r="F11" s="32">
        <f>50+12755+17+8935</f>
        <v>21757</v>
      </c>
      <c r="G11" s="32">
        <f>710+913</f>
        <v>1623</v>
      </c>
      <c r="H11" s="32">
        <f>652+730+3</f>
        <v>1385</v>
      </c>
      <c r="I11" s="31">
        <f t="shared" si="0"/>
        <v>238</v>
      </c>
      <c r="J11" s="32">
        <f>14629+2321+2998+1459+7019+140+173+2630</f>
        <v>31369</v>
      </c>
      <c r="K11" s="32">
        <f>841+146+206+167+505+14+7+97</f>
        <v>1983</v>
      </c>
      <c r="L11" s="32">
        <f>937+157+207+115+374+7+4+129</f>
        <v>1930</v>
      </c>
      <c r="M11" s="31">
        <f t="shared" si="1"/>
        <v>53</v>
      </c>
      <c r="N11" s="15">
        <v>98</v>
      </c>
      <c r="O11" s="32">
        <v>1356</v>
      </c>
      <c r="P11" s="32">
        <v>275</v>
      </c>
      <c r="Q11" s="31">
        <f t="shared" si="2"/>
        <v>1081</v>
      </c>
      <c r="R11" s="23">
        <f t="shared" si="3"/>
        <v>64504</v>
      </c>
      <c r="S11" s="23">
        <f t="shared" si="3"/>
        <v>5332</v>
      </c>
      <c r="T11" s="23">
        <f t="shared" si="3"/>
        <v>4314</v>
      </c>
      <c r="U11" s="23">
        <f t="shared" si="3"/>
        <v>1018</v>
      </c>
    </row>
    <row r="12" spans="1:21" s="24" customFormat="1" ht="11.25">
      <c r="A12" s="22" t="s">
        <v>13</v>
      </c>
      <c r="B12" s="23">
        <f>11084+32</f>
        <v>11116</v>
      </c>
      <c r="C12" s="32">
        <f>SUM(C44:C47)</f>
        <v>391</v>
      </c>
      <c r="D12" s="32">
        <f>SUM(D44:D47)</f>
        <v>659</v>
      </c>
      <c r="E12" s="31">
        <f t="shared" si="4"/>
        <v>-268</v>
      </c>
      <c r="F12" s="23">
        <f>48+12643+18+9420</f>
        <v>22129</v>
      </c>
      <c r="G12" s="32">
        <f>SUM(G44:G47)</f>
        <v>1652</v>
      </c>
      <c r="H12" s="32">
        <f>SUM(H44:H47)</f>
        <v>1521</v>
      </c>
      <c r="I12" s="31">
        <f t="shared" si="0"/>
        <v>131</v>
      </c>
      <c r="J12" s="23">
        <f>14652+2364+3074+1438+7506+142+177+2662</f>
        <v>32015</v>
      </c>
      <c r="K12" s="32">
        <f>SUM(K44:K47)</f>
        <v>1781</v>
      </c>
      <c r="L12" s="32">
        <f>SUM(L44:L47)</f>
        <v>2147</v>
      </c>
      <c r="M12" s="31">
        <f t="shared" si="1"/>
        <v>-366</v>
      </c>
      <c r="N12" s="23">
        <v>80</v>
      </c>
      <c r="O12" s="32">
        <f>SUM(O44:O47)</f>
        <v>1599</v>
      </c>
      <c r="P12" s="32">
        <f>SUM(P44:P47)</f>
        <v>317</v>
      </c>
      <c r="Q12" s="31">
        <f t="shared" si="2"/>
        <v>1282</v>
      </c>
      <c r="R12" s="23">
        <f t="shared" si="3"/>
        <v>65340</v>
      </c>
      <c r="S12" s="23">
        <f t="shared" si="3"/>
        <v>5423</v>
      </c>
      <c r="T12" s="23">
        <f t="shared" si="3"/>
        <v>4644</v>
      </c>
      <c r="U12" s="23">
        <f t="shared" si="3"/>
        <v>779</v>
      </c>
    </row>
    <row r="13" spans="1:21" s="24" customFormat="1" ht="11.25">
      <c r="A13" s="22" t="s">
        <v>59</v>
      </c>
      <c r="B13" s="23">
        <v>10857</v>
      </c>
      <c r="C13" s="32">
        <f>C48+C49+C50+C51</f>
        <v>389</v>
      </c>
      <c r="D13" s="32">
        <f>D48+D49+D50+D51</f>
        <v>668</v>
      </c>
      <c r="E13" s="31">
        <f t="shared" si="4"/>
        <v>-279</v>
      </c>
      <c r="F13" s="23">
        <v>22336</v>
      </c>
      <c r="G13" s="32">
        <f>G48+G49+G50+G51</f>
        <v>1575</v>
      </c>
      <c r="H13" s="32">
        <f>H48+H49+H50+H51</f>
        <v>1446</v>
      </c>
      <c r="I13" s="31">
        <f t="shared" si="0"/>
        <v>129</v>
      </c>
      <c r="J13" s="23">
        <v>32379</v>
      </c>
      <c r="K13" s="32">
        <f>K48+K49+K50+K51</f>
        <v>1768</v>
      </c>
      <c r="L13" s="32">
        <f>L48+L49+L50+L51</f>
        <v>2021</v>
      </c>
      <c r="M13" s="31">
        <f t="shared" si="1"/>
        <v>-253</v>
      </c>
      <c r="N13" s="23">
        <v>67</v>
      </c>
      <c r="O13" s="32">
        <f>O48+O49+O50+O51</f>
        <v>1465</v>
      </c>
      <c r="P13" s="32">
        <f>P48+P49+P50+P51</f>
        <v>246</v>
      </c>
      <c r="Q13" s="31">
        <f t="shared" si="2"/>
        <v>1219</v>
      </c>
      <c r="R13" s="23">
        <v>65639</v>
      </c>
      <c r="S13" s="23">
        <f>G13+K13+O13+C13</f>
        <v>5197</v>
      </c>
      <c r="T13" s="23">
        <f>H13+L13+P13+D13</f>
        <v>4381</v>
      </c>
      <c r="U13" s="23">
        <f>S13-T13</f>
        <v>816</v>
      </c>
    </row>
    <row r="14" spans="1:21" s="24" customFormat="1" ht="11.25">
      <c r="A14" s="22" t="s">
        <v>60</v>
      </c>
      <c r="B14" s="23">
        <v>10499</v>
      </c>
      <c r="C14" s="32">
        <f>SUM(C52:C55)</f>
        <v>348</v>
      </c>
      <c r="D14" s="32">
        <f>SUM(D52:D55)</f>
        <v>739</v>
      </c>
      <c r="E14" s="32">
        <f>SUM(E52:E55)</f>
        <v>-391</v>
      </c>
      <c r="F14" s="23">
        <v>22710</v>
      </c>
      <c r="G14" s="32">
        <f>SUM(G52:G55)</f>
        <v>1771</v>
      </c>
      <c r="H14" s="32">
        <f>SUM(H52:H55)</f>
        <v>1589</v>
      </c>
      <c r="I14" s="32">
        <f>SUM(I52:I55)</f>
        <v>182</v>
      </c>
      <c r="J14" s="23">
        <v>33289</v>
      </c>
      <c r="K14" s="32">
        <f>SUM(K52:K55)</f>
        <v>2149</v>
      </c>
      <c r="L14" s="32">
        <f>SUM(L52:L55)</f>
        <v>2173</v>
      </c>
      <c r="M14" s="32">
        <f>SUM(M52:M55)</f>
        <v>-24</v>
      </c>
      <c r="N14" s="23">
        <v>63</v>
      </c>
      <c r="O14" s="32">
        <f>SUM(O52:O55)</f>
        <v>1438</v>
      </c>
      <c r="P14" s="32">
        <f>SUM(P52:P55)</f>
        <v>204</v>
      </c>
      <c r="Q14" s="32">
        <f>SUM(Q52:Q55)</f>
        <v>1234</v>
      </c>
      <c r="R14" s="23">
        <v>66561</v>
      </c>
      <c r="S14" s="32">
        <f>SUM(S52:S55)</f>
        <v>5706</v>
      </c>
      <c r="T14" s="32">
        <f>SUM(T52:T55)</f>
        <v>4705</v>
      </c>
      <c r="U14" s="32">
        <f>SUM(U52:U55)</f>
        <v>1001</v>
      </c>
    </row>
    <row r="15" spans="1:21" s="24" customFormat="1" ht="11.25">
      <c r="A15" s="25"/>
      <c r="B15" s="15"/>
      <c r="C15" s="15"/>
      <c r="D15" s="15"/>
      <c r="E15" s="15"/>
      <c r="F15" s="15"/>
      <c r="G15" s="15"/>
      <c r="H15" s="15"/>
      <c r="I15" s="31"/>
      <c r="J15" s="15"/>
      <c r="K15" s="15"/>
      <c r="L15" s="15"/>
      <c r="M15" s="15"/>
      <c r="N15" s="15"/>
      <c r="O15" s="15"/>
      <c r="P15" s="15"/>
      <c r="Q15" s="15"/>
      <c r="R15" s="23"/>
      <c r="S15" s="23"/>
      <c r="T15" s="23"/>
      <c r="U15" s="15"/>
    </row>
    <row r="16" spans="1:21" s="5" customFormat="1" ht="11.25">
      <c r="A16" s="17" t="s">
        <v>14</v>
      </c>
      <c r="B16" s="31">
        <f>839+8</f>
        <v>847</v>
      </c>
      <c r="C16" s="31">
        <f>19</f>
        <v>19</v>
      </c>
      <c r="D16" s="31">
        <v>29</v>
      </c>
      <c r="E16" s="23">
        <f aca="true" t="shared" si="5" ref="E16:E23">C16-D16</f>
        <v>-10</v>
      </c>
      <c r="F16" s="23">
        <f>62+12907+8+6329</f>
        <v>19306</v>
      </c>
      <c r="G16" s="23">
        <f>332+317</f>
        <v>649</v>
      </c>
      <c r="H16" s="23">
        <f>3+382+236</f>
        <v>621</v>
      </c>
      <c r="I16" s="23">
        <f aca="true" t="shared" si="6" ref="I16:I55">G16-H16</f>
        <v>28</v>
      </c>
      <c r="J16" s="23">
        <v>28185</v>
      </c>
      <c r="K16" s="23">
        <v>765</v>
      </c>
      <c r="L16" s="23">
        <v>917</v>
      </c>
      <c r="M16" s="23">
        <f aca="true" t="shared" si="7" ref="M16:M55">K16-L16</f>
        <v>-152</v>
      </c>
      <c r="N16" s="23">
        <v>150</v>
      </c>
      <c r="O16" s="23">
        <v>7</v>
      </c>
      <c r="P16" s="23">
        <v>1</v>
      </c>
      <c r="Q16" s="23">
        <f aca="true" t="shared" si="8" ref="Q16:Q55">O16-P16</f>
        <v>6</v>
      </c>
      <c r="R16" s="23">
        <f aca="true" t="shared" si="9" ref="R16:U23">F16+J16+N16+B16</f>
        <v>48488</v>
      </c>
      <c r="S16" s="23">
        <f t="shared" si="9"/>
        <v>1440</v>
      </c>
      <c r="T16" s="23">
        <f t="shared" si="9"/>
        <v>1568</v>
      </c>
      <c r="U16" s="23">
        <f t="shared" si="9"/>
        <v>-128</v>
      </c>
    </row>
    <row r="17" spans="1:21" s="5" customFormat="1" ht="11.25">
      <c r="A17" s="17" t="s">
        <v>15</v>
      </c>
      <c r="B17" s="31">
        <f>848+8</f>
        <v>856</v>
      </c>
      <c r="C17" s="31">
        <f>13</f>
        <v>13</v>
      </c>
      <c r="D17" s="31">
        <v>3</v>
      </c>
      <c r="E17" s="23">
        <f t="shared" si="5"/>
        <v>10</v>
      </c>
      <c r="F17" s="23">
        <f>61+12965+9+6493</f>
        <v>19528</v>
      </c>
      <c r="G17" s="23">
        <f>1+249+1+235</f>
        <v>486</v>
      </c>
      <c r="H17" s="23">
        <f>1+121+73</f>
        <v>195</v>
      </c>
      <c r="I17" s="23">
        <f t="shared" si="6"/>
        <v>291</v>
      </c>
      <c r="J17" s="23">
        <v>28471</v>
      </c>
      <c r="K17" s="23">
        <v>678</v>
      </c>
      <c r="L17" s="23">
        <v>306</v>
      </c>
      <c r="M17" s="23">
        <f t="shared" si="7"/>
        <v>372</v>
      </c>
      <c r="N17" s="23">
        <v>168</v>
      </c>
      <c r="O17" s="23">
        <v>3</v>
      </c>
      <c r="P17" s="23">
        <v>0</v>
      </c>
      <c r="Q17" s="23">
        <f t="shared" si="8"/>
        <v>3</v>
      </c>
      <c r="R17" s="23">
        <f t="shared" si="9"/>
        <v>49023</v>
      </c>
      <c r="S17" s="23">
        <f t="shared" si="9"/>
        <v>1180</v>
      </c>
      <c r="T17" s="23">
        <f t="shared" si="9"/>
        <v>504</v>
      </c>
      <c r="U17" s="23">
        <f t="shared" si="9"/>
        <v>676</v>
      </c>
    </row>
    <row r="18" spans="1:21" s="5" customFormat="1" ht="11.25">
      <c r="A18" s="17" t="s">
        <v>16</v>
      </c>
      <c r="B18" s="31">
        <f>845+8</f>
        <v>853</v>
      </c>
      <c r="C18" s="31">
        <f>6</f>
        <v>6</v>
      </c>
      <c r="D18" s="31">
        <v>12</v>
      </c>
      <c r="E18" s="23">
        <f t="shared" si="5"/>
        <v>-6</v>
      </c>
      <c r="F18" s="23">
        <f>58+12952+10+6617</f>
        <v>19637</v>
      </c>
      <c r="G18" s="23">
        <f>211+190</f>
        <v>401</v>
      </c>
      <c r="H18" s="23">
        <f>83+147+1</f>
        <v>231</v>
      </c>
      <c r="I18" s="23">
        <f t="shared" si="6"/>
        <v>170</v>
      </c>
      <c r="J18" s="23">
        <v>28676</v>
      </c>
      <c r="K18" s="23">
        <v>612</v>
      </c>
      <c r="L18" s="23">
        <v>365</v>
      </c>
      <c r="M18" s="23">
        <f t="shared" si="7"/>
        <v>247</v>
      </c>
      <c r="N18" s="23">
        <v>218</v>
      </c>
      <c r="O18" s="23">
        <v>8</v>
      </c>
      <c r="P18" s="23">
        <v>1</v>
      </c>
      <c r="Q18" s="23">
        <f t="shared" si="8"/>
        <v>7</v>
      </c>
      <c r="R18" s="23">
        <f t="shared" si="9"/>
        <v>49384</v>
      </c>
      <c r="S18" s="23">
        <f t="shared" si="9"/>
        <v>1027</v>
      </c>
      <c r="T18" s="23">
        <f t="shared" si="9"/>
        <v>609</v>
      </c>
      <c r="U18" s="23">
        <f t="shared" si="9"/>
        <v>418</v>
      </c>
    </row>
    <row r="19" spans="1:21" s="5" customFormat="1" ht="11.25">
      <c r="A19" s="17" t="s">
        <v>17</v>
      </c>
      <c r="B19" s="31">
        <f>837+8</f>
        <v>845</v>
      </c>
      <c r="C19" s="31">
        <f>41-C18-C17-C16</f>
        <v>3</v>
      </c>
      <c r="D19" s="31">
        <f>56-D18-D17-D16</f>
        <v>12</v>
      </c>
      <c r="E19" s="23">
        <f t="shared" si="5"/>
        <v>-9</v>
      </c>
      <c r="F19" s="23">
        <f>59+12974+10+6668</f>
        <v>19711</v>
      </c>
      <c r="G19" s="23">
        <f>1006+1+3+933-G18-G17-G16</f>
        <v>407</v>
      </c>
      <c r="H19" s="23">
        <f>6+839+500-H18-H17-H16</f>
        <v>298</v>
      </c>
      <c r="I19" s="23">
        <f t="shared" si="6"/>
        <v>109</v>
      </c>
      <c r="J19" s="23">
        <v>28765</v>
      </c>
      <c r="K19" s="23">
        <v>606</v>
      </c>
      <c r="L19" s="23">
        <v>558</v>
      </c>
      <c r="M19" s="23">
        <f t="shared" si="7"/>
        <v>48</v>
      </c>
      <c r="N19" s="23">
        <v>30</v>
      </c>
      <c r="O19" s="23">
        <v>1</v>
      </c>
      <c r="P19" s="23">
        <v>1</v>
      </c>
      <c r="Q19" s="23">
        <f t="shared" si="8"/>
        <v>0</v>
      </c>
      <c r="R19" s="23">
        <f t="shared" si="9"/>
        <v>49351</v>
      </c>
      <c r="S19" s="23">
        <f t="shared" si="9"/>
        <v>1017</v>
      </c>
      <c r="T19" s="23">
        <f t="shared" si="9"/>
        <v>869</v>
      </c>
      <c r="U19" s="23">
        <f t="shared" si="9"/>
        <v>148</v>
      </c>
    </row>
    <row r="20" spans="1:21" s="5" customFormat="1" ht="11.25">
      <c r="A20" s="17" t="s">
        <v>18</v>
      </c>
      <c r="B20" s="31">
        <f>824+8</f>
        <v>832</v>
      </c>
      <c r="C20" s="31">
        <f>12</f>
        <v>12</v>
      </c>
      <c r="D20" s="31">
        <v>29</v>
      </c>
      <c r="E20" s="23">
        <f t="shared" si="5"/>
        <v>-17</v>
      </c>
      <c r="F20" s="23">
        <f>58+12838+10+6645</f>
        <v>19551</v>
      </c>
      <c r="G20" s="23">
        <f>269+1+257</f>
        <v>527</v>
      </c>
      <c r="H20" s="23">
        <f>357+272</f>
        <v>629</v>
      </c>
      <c r="I20" s="23">
        <f t="shared" si="6"/>
        <v>-102</v>
      </c>
      <c r="J20" s="23">
        <f>14665+2169+2790+1076+4954+107+126+2508</f>
        <v>28395</v>
      </c>
      <c r="K20" s="23">
        <f>284+62+65+33+190+3+3+28</f>
        <v>668</v>
      </c>
      <c r="L20" s="23">
        <f>478+86+102+49+170+3+3+77</f>
        <v>968</v>
      </c>
      <c r="M20" s="23">
        <f t="shared" si="7"/>
        <v>-300</v>
      </c>
      <c r="N20" s="23">
        <v>30</v>
      </c>
      <c r="O20" s="23">
        <v>14</v>
      </c>
      <c r="P20" s="23">
        <v>1</v>
      </c>
      <c r="Q20" s="23">
        <f t="shared" si="8"/>
        <v>13</v>
      </c>
      <c r="R20" s="23">
        <f t="shared" si="9"/>
        <v>48808</v>
      </c>
      <c r="S20" s="23">
        <f t="shared" si="9"/>
        <v>1221</v>
      </c>
      <c r="T20" s="23">
        <f t="shared" si="9"/>
        <v>1627</v>
      </c>
      <c r="U20" s="23">
        <f t="shared" si="9"/>
        <v>-406</v>
      </c>
    </row>
    <row r="21" spans="1:22" s="5" customFormat="1" ht="11.25">
      <c r="A21" s="17" t="s">
        <v>15</v>
      </c>
      <c r="B21" s="31">
        <f>866+10</f>
        <v>876</v>
      </c>
      <c r="C21" s="31">
        <f>20</f>
        <v>20</v>
      </c>
      <c r="D21" s="31">
        <v>10</v>
      </c>
      <c r="E21" s="23">
        <f t="shared" si="5"/>
        <v>10</v>
      </c>
      <c r="F21" s="23">
        <f>58+12864+10+6761</f>
        <v>19693</v>
      </c>
      <c r="G21" s="23">
        <f>173+224</f>
        <v>397</v>
      </c>
      <c r="H21" s="23">
        <f>152+112</f>
        <v>264</v>
      </c>
      <c r="I21" s="23">
        <f t="shared" si="6"/>
        <v>133</v>
      </c>
      <c r="J21" s="23">
        <f>14764+2173+2828+1075+5117+105+123+2538</f>
        <v>28723</v>
      </c>
      <c r="K21" s="23">
        <f>256+37+66+23+141+1+1+37</f>
        <v>562</v>
      </c>
      <c r="L21" s="23">
        <f>181+32+46+22+84+2+2+31</f>
        <v>400</v>
      </c>
      <c r="M21" s="23">
        <f t="shared" si="7"/>
        <v>162</v>
      </c>
      <c r="N21" s="23">
        <v>49</v>
      </c>
      <c r="O21" s="23">
        <v>490</v>
      </c>
      <c r="P21" s="23">
        <v>6</v>
      </c>
      <c r="Q21" s="23">
        <f t="shared" si="8"/>
        <v>484</v>
      </c>
      <c r="R21" s="23">
        <f t="shared" si="9"/>
        <v>49341</v>
      </c>
      <c r="S21" s="23">
        <f t="shared" si="9"/>
        <v>1469</v>
      </c>
      <c r="T21" s="23">
        <f t="shared" si="9"/>
        <v>680</v>
      </c>
      <c r="U21" s="23">
        <f t="shared" si="9"/>
        <v>789</v>
      </c>
      <c r="V21" s="16"/>
    </row>
    <row r="22" spans="1:21" s="5" customFormat="1" ht="11.25">
      <c r="A22" s="17" t="s">
        <v>16</v>
      </c>
      <c r="B22" s="31">
        <f>879+10</f>
        <v>889</v>
      </c>
      <c r="C22" s="31">
        <v>20</v>
      </c>
      <c r="D22" s="31">
        <v>10</v>
      </c>
      <c r="E22" s="23">
        <f t="shared" si="5"/>
        <v>10</v>
      </c>
      <c r="F22" s="23">
        <f>58+12877+10+6843</f>
        <v>19788</v>
      </c>
      <c r="G22" s="23">
        <f>122+126</f>
        <v>248</v>
      </c>
      <c r="H22" s="23">
        <f>76+131</f>
        <v>207</v>
      </c>
      <c r="I22" s="23">
        <f t="shared" si="6"/>
        <v>41</v>
      </c>
      <c r="J22" s="23">
        <f>14740+2191+2833+1086+5187+105+132+2555</f>
        <v>28829</v>
      </c>
      <c r="K22" s="23">
        <f>146+31+40+25+113+2+8+29</f>
        <v>394</v>
      </c>
      <c r="L22" s="23">
        <f>200+30+39+20+69+2+1+27</f>
        <v>388</v>
      </c>
      <c r="M22" s="23">
        <f t="shared" si="7"/>
        <v>6</v>
      </c>
      <c r="N22" s="23">
        <v>48</v>
      </c>
      <c r="O22" s="23">
        <v>246</v>
      </c>
      <c r="P22" s="23">
        <v>7</v>
      </c>
      <c r="Q22" s="23">
        <f t="shared" si="8"/>
        <v>239</v>
      </c>
      <c r="R22" s="23">
        <f t="shared" si="9"/>
        <v>49554</v>
      </c>
      <c r="S22" s="23">
        <f t="shared" si="9"/>
        <v>908</v>
      </c>
      <c r="T22" s="23">
        <f t="shared" si="9"/>
        <v>612</v>
      </c>
      <c r="U22" s="23">
        <f t="shared" si="9"/>
        <v>296</v>
      </c>
    </row>
    <row r="23" spans="1:21" s="5" customFormat="1" ht="11.25">
      <c r="A23" s="17" t="s">
        <v>17</v>
      </c>
      <c r="B23" s="31">
        <f>1388+11</f>
        <v>1399</v>
      </c>
      <c r="C23" s="31">
        <f>576-C22-C21-C20</f>
        <v>524</v>
      </c>
      <c r="D23" s="31">
        <f>64-D22-D21-D20</f>
        <v>15</v>
      </c>
      <c r="E23" s="23">
        <f t="shared" si="5"/>
        <v>509</v>
      </c>
      <c r="F23" s="23">
        <f>58+12882+10+6942</f>
        <v>19892</v>
      </c>
      <c r="G23" s="23">
        <f>670+1+726-G22-G21-G20</f>
        <v>225</v>
      </c>
      <c r="H23" s="23">
        <f>1+823+550-H22-H21-H20</f>
        <v>274</v>
      </c>
      <c r="I23" s="23">
        <f t="shared" si="6"/>
        <v>-49</v>
      </c>
      <c r="J23" s="23">
        <f>14721+2199+2849+1091+5333+109+144+2565</f>
        <v>29011</v>
      </c>
      <c r="K23" s="23">
        <f>826+155+220+100+554+9+21+120-K22-K21-K20</f>
        <v>381</v>
      </c>
      <c r="L23" s="23">
        <f>1143+211+231+119+448+8+9+164-L22-L21-L20</f>
        <v>577</v>
      </c>
      <c r="M23" s="23">
        <f t="shared" si="7"/>
        <v>-196</v>
      </c>
      <c r="N23" s="23">
        <v>54</v>
      </c>
      <c r="O23" s="23">
        <f>1010-O22-O21-O20</f>
        <v>260</v>
      </c>
      <c r="P23" s="23">
        <f>55-P22-P21-P20</f>
        <v>41</v>
      </c>
      <c r="Q23" s="23">
        <f t="shared" si="8"/>
        <v>219</v>
      </c>
      <c r="R23" s="23">
        <f t="shared" si="9"/>
        <v>50356</v>
      </c>
      <c r="S23" s="23">
        <f t="shared" si="9"/>
        <v>1390</v>
      </c>
      <c r="T23" s="23">
        <f t="shared" si="9"/>
        <v>907</v>
      </c>
      <c r="U23" s="23">
        <f t="shared" si="9"/>
        <v>483</v>
      </c>
    </row>
    <row r="24" spans="1:21" s="5" customFormat="1" ht="11.25">
      <c r="A24" s="17" t="s">
        <v>19</v>
      </c>
      <c r="B24" s="23" t="s">
        <v>20</v>
      </c>
      <c r="C24" s="31" t="s">
        <v>21</v>
      </c>
      <c r="D24" s="31">
        <f>126+1</f>
        <v>127</v>
      </c>
      <c r="E24" s="23" t="s">
        <v>22</v>
      </c>
      <c r="F24" s="23">
        <f>57+12684+13+6904</f>
        <v>19658</v>
      </c>
      <c r="G24" s="23">
        <f>206+3+216</f>
        <v>425</v>
      </c>
      <c r="H24" s="23">
        <f>279+381+2</f>
        <v>662</v>
      </c>
      <c r="I24" s="23">
        <f t="shared" si="6"/>
        <v>-237</v>
      </c>
      <c r="J24" s="23">
        <f>14574+2185+2822+1110+5393+109+146+2552</f>
        <v>28891</v>
      </c>
      <c r="K24" s="23">
        <f>219+25+41+44+101+2+3+31</f>
        <v>466</v>
      </c>
      <c r="L24" s="23">
        <f>407+70+70+32+127+4+3+51</f>
        <v>764</v>
      </c>
      <c r="M24" s="23">
        <f t="shared" si="7"/>
        <v>-298</v>
      </c>
      <c r="N24" s="23">
        <v>56</v>
      </c>
      <c r="O24" s="23">
        <v>317</v>
      </c>
      <c r="P24" s="23">
        <v>30</v>
      </c>
      <c r="Q24" s="23">
        <f t="shared" si="8"/>
        <v>287</v>
      </c>
      <c r="R24" s="23" t="s">
        <v>23</v>
      </c>
      <c r="S24" s="23" t="s">
        <v>24</v>
      </c>
      <c r="T24" s="23">
        <f aca="true" t="shared" si="10" ref="T24:T55">H24+L24+P24+D24</f>
        <v>1583</v>
      </c>
      <c r="U24" s="23" t="s">
        <v>25</v>
      </c>
    </row>
    <row r="25" spans="1:21" s="5" customFormat="1" ht="11.25">
      <c r="A25" s="17" t="s">
        <v>15</v>
      </c>
      <c r="B25" s="31">
        <f>13642+33</f>
        <v>13675</v>
      </c>
      <c r="C25" s="31">
        <f>232+1</f>
        <v>233</v>
      </c>
      <c r="D25" s="31">
        <f>126+1</f>
        <v>127</v>
      </c>
      <c r="E25" s="23">
        <f aca="true" t="shared" si="11" ref="E25:E55">C25-D25</f>
        <v>106</v>
      </c>
      <c r="F25" s="23">
        <f>57+12676+13+6988</f>
        <v>19734</v>
      </c>
      <c r="G25" s="23">
        <f>163+177</f>
        <v>340</v>
      </c>
      <c r="H25" s="23">
        <f>202+137</f>
        <v>339</v>
      </c>
      <c r="I25" s="23">
        <f t="shared" si="6"/>
        <v>1</v>
      </c>
      <c r="J25" s="23">
        <f>14623+2213+2858+1113+5474+111+144+2560</f>
        <v>29096</v>
      </c>
      <c r="K25" s="23">
        <f>156+31+69+24+107+1+1+27</f>
        <v>416</v>
      </c>
      <c r="L25" s="23">
        <f>183+24+38+26+79+2+34</f>
        <v>386</v>
      </c>
      <c r="M25" s="23">
        <f t="shared" si="7"/>
        <v>30</v>
      </c>
      <c r="N25" s="23">
        <v>59</v>
      </c>
      <c r="O25" s="23">
        <v>287</v>
      </c>
      <c r="P25" s="23">
        <v>18</v>
      </c>
      <c r="Q25" s="23">
        <f t="shared" si="8"/>
        <v>269</v>
      </c>
      <c r="R25" s="23">
        <f aca="true" t="shared" si="12" ref="R25:R55">F25+J25+N25+B25</f>
        <v>62564</v>
      </c>
      <c r="S25" s="23">
        <f aca="true" t="shared" si="13" ref="S25:S55">G25+K25+O25+C25</f>
        <v>1276</v>
      </c>
      <c r="T25" s="23">
        <f t="shared" si="10"/>
        <v>870</v>
      </c>
      <c r="U25" s="23">
        <f aca="true" t="shared" si="14" ref="U25:U55">I25+M25+Q25+E25</f>
        <v>406</v>
      </c>
    </row>
    <row r="26" spans="1:21" s="5" customFormat="1" ht="11.25">
      <c r="A26" s="17" t="s">
        <v>16</v>
      </c>
      <c r="B26" s="31">
        <f>13751+33</f>
        <v>13784</v>
      </c>
      <c r="C26" s="31">
        <v>200</v>
      </c>
      <c r="D26" s="31">
        <v>94</v>
      </c>
      <c r="E26" s="23">
        <f t="shared" si="11"/>
        <v>106</v>
      </c>
      <c r="F26" s="23">
        <f>57+12661+13+7053</f>
        <v>19784</v>
      </c>
      <c r="G26" s="23">
        <f>146+172</f>
        <v>318</v>
      </c>
      <c r="H26" s="23">
        <f>153+109</f>
        <v>262</v>
      </c>
      <c r="I26" s="23">
        <f t="shared" si="6"/>
        <v>56</v>
      </c>
      <c r="J26" s="23">
        <f>14639+2214+2852+1126+5490+110+144+2569</f>
        <v>29144</v>
      </c>
      <c r="K26" s="23">
        <f>172+25+39+24+51+24</f>
        <v>335</v>
      </c>
      <c r="L26" s="23">
        <f>179+27+42+14+66+2+27</f>
        <v>357</v>
      </c>
      <c r="M26" s="23">
        <f t="shared" si="7"/>
        <v>-22</v>
      </c>
      <c r="N26" s="23">
        <v>74</v>
      </c>
      <c r="O26" s="23">
        <v>284</v>
      </c>
      <c r="P26" s="23">
        <v>11</v>
      </c>
      <c r="Q26" s="23">
        <f t="shared" si="8"/>
        <v>273</v>
      </c>
      <c r="R26" s="23">
        <f t="shared" si="12"/>
        <v>62786</v>
      </c>
      <c r="S26" s="23">
        <f t="shared" si="13"/>
        <v>1137</v>
      </c>
      <c r="T26" s="23">
        <f t="shared" si="10"/>
        <v>724</v>
      </c>
      <c r="U26" s="23">
        <f t="shared" si="14"/>
        <v>413</v>
      </c>
    </row>
    <row r="27" spans="1:21" s="5" customFormat="1" ht="11.25">
      <c r="A27" s="17" t="s">
        <v>17</v>
      </c>
      <c r="B27" s="23">
        <f>B7</f>
        <v>13670</v>
      </c>
      <c r="C27" s="31">
        <f>C7-C26-C25-12291</f>
        <v>452</v>
      </c>
      <c r="D27" s="31">
        <f>D7-D26-D25-D24</f>
        <v>581</v>
      </c>
      <c r="E27" s="23">
        <f t="shared" si="11"/>
        <v>-129</v>
      </c>
      <c r="F27" s="23">
        <f>F7</f>
        <v>19915</v>
      </c>
      <c r="G27" s="23">
        <f>G7-G26-G25-G24</f>
        <v>333</v>
      </c>
      <c r="H27" s="23">
        <f>H7-H26-H25-H24</f>
        <v>307</v>
      </c>
      <c r="I27" s="23">
        <f t="shared" si="6"/>
        <v>26</v>
      </c>
      <c r="J27" s="23">
        <f>J7</f>
        <v>29271</v>
      </c>
      <c r="K27" s="23">
        <f>K7-K26-K25-K24</f>
        <v>438</v>
      </c>
      <c r="L27" s="23">
        <f>L7-L26-L25-L24</f>
        <v>576</v>
      </c>
      <c r="M27" s="23">
        <f t="shared" si="7"/>
        <v>-138</v>
      </c>
      <c r="N27" s="23">
        <f>N7</f>
        <v>75</v>
      </c>
      <c r="O27" s="23">
        <f>O7-O26-O25-O24</f>
        <v>316</v>
      </c>
      <c r="P27" s="23">
        <f>P7-P26-P25-P24</f>
        <v>83</v>
      </c>
      <c r="Q27" s="23">
        <f t="shared" si="8"/>
        <v>233</v>
      </c>
      <c r="R27" s="23">
        <f t="shared" si="12"/>
        <v>62931</v>
      </c>
      <c r="S27" s="23">
        <f t="shared" si="13"/>
        <v>1539</v>
      </c>
      <c r="T27" s="23">
        <f t="shared" si="10"/>
        <v>1547</v>
      </c>
      <c r="U27" s="23">
        <f t="shared" si="14"/>
        <v>-8</v>
      </c>
    </row>
    <row r="28" spans="1:21" s="5" customFormat="1" ht="11.25">
      <c r="A28" s="17" t="s">
        <v>26</v>
      </c>
      <c r="B28" s="23">
        <f>12327+31</f>
        <v>12358</v>
      </c>
      <c r="C28" s="23">
        <v>554</v>
      </c>
      <c r="D28" s="23">
        <v>1869</v>
      </c>
      <c r="E28" s="23">
        <f t="shared" si="11"/>
        <v>-1315</v>
      </c>
      <c r="F28" s="23">
        <f>55+12594+14+7130</f>
        <v>19793</v>
      </c>
      <c r="G28" s="23">
        <f>243+209</f>
        <v>452</v>
      </c>
      <c r="H28" s="23">
        <f>344+270</f>
        <v>614</v>
      </c>
      <c r="I28" s="23">
        <f t="shared" si="6"/>
        <v>-162</v>
      </c>
      <c r="J28" s="23">
        <f>14535+2205+2896+1128+5529+112+143+2576</f>
        <v>29124</v>
      </c>
      <c r="K28" s="23">
        <f>239+47+68+42+108+2+29</f>
        <v>535</v>
      </c>
      <c r="L28" s="23">
        <f>423+69+67+34+151+7+3+62</f>
        <v>816</v>
      </c>
      <c r="M28" s="23">
        <f t="shared" si="7"/>
        <v>-281</v>
      </c>
      <c r="N28" s="23">
        <v>85</v>
      </c>
      <c r="O28" s="23">
        <v>382</v>
      </c>
      <c r="P28" s="23">
        <v>53</v>
      </c>
      <c r="Q28" s="23">
        <f t="shared" si="8"/>
        <v>329</v>
      </c>
      <c r="R28" s="23">
        <f t="shared" si="12"/>
        <v>61360</v>
      </c>
      <c r="S28" s="23">
        <f t="shared" si="13"/>
        <v>1923</v>
      </c>
      <c r="T28" s="23">
        <f t="shared" si="10"/>
        <v>3352</v>
      </c>
      <c r="U28" s="23">
        <f t="shared" si="14"/>
        <v>-1429</v>
      </c>
    </row>
    <row r="29" spans="1:21" s="5" customFormat="1" ht="11.25">
      <c r="A29" s="17" t="s">
        <v>15</v>
      </c>
      <c r="B29" s="23">
        <f>12206+31</f>
        <v>12237</v>
      </c>
      <c r="C29" s="23">
        <v>93</v>
      </c>
      <c r="D29" s="23">
        <v>212</v>
      </c>
      <c r="E29" s="23">
        <f t="shared" si="11"/>
        <v>-119</v>
      </c>
      <c r="F29" s="23">
        <f>56+12657+14+7270</f>
        <v>19997</v>
      </c>
      <c r="G29" s="23">
        <f>181+158+1</f>
        <v>340</v>
      </c>
      <c r="H29" s="23">
        <f>95+135</f>
        <v>230</v>
      </c>
      <c r="I29" s="23">
        <f t="shared" si="6"/>
        <v>110</v>
      </c>
      <c r="J29" s="23">
        <f>14608+2222+2889+1143+5655+113+148+2578</f>
        <v>29356</v>
      </c>
      <c r="K29" s="23">
        <f>31+2+1+119+38+22+30+193</f>
        <v>436</v>
      </c>
      <c r="L29" s="23">
        <f>164+33+40+22+60+2+35</f>
        <v>356</v>
      </c>
      <c r="M29" s="23">
        <f t="shared" si="7"/>
        <v>80</v>
      </c>
      <c r="N29" s="23">
        <v>99</v>
      </c>
      <c r="O29" s="23">
        <v>248</v>
      </c>
      <c r="P29" s="23">
        <v>22</v>
      </c>
      <c r="Q29" s="23">
        <f t="shared" si="8"/>
        <v>226</v>
      </c>
      <c r="R29" s="23">
        <f t="shared" si="12"/>
        <v>61689</v>
      </c>
      <c r="S29" s="23">
        <f t="shared" si="13"/>
        <v>1117</v>
      </c>
      <c r="T29" s="23">
        <f t="shared" si="10"/>
        <v>820</v>
      </c>
      <c r="U29" s="23">
        <f t="shared" si="14"/>
        <v>297</v>
      </c>
    </row>
    <row r="30" spans="1:21" s="5" customFormat="1" ht="11.25">
      <c r="A30" s="17" t="s">
        <v>16</v>
      </c>
      <c r="B30" s="31">
        <f>12063+31</f>
        <v>12094</v>
      </c>
      <c r="C30" s="31">
        <v>69</v>
      </c>
      <c r="D30" s="31">
        <v>212</v>
      </c>
      <c r="E30" s="23">
        <f t="shared" si="11"/>
        <v>-143</v>
      </c>
      <c r="F30" s="23">
        <f>56+12703+14+7401</f>
        <v>20174</v>
      </c>
      <c r="G30" s="23">
        <f>194+183</f>
        <v>377</v>
      </c>
      <c r="H30" s="23">
        <f>72+150+1</f>
        <v>223</v>
      </c>
      <c r="I30" s="23">
        <f t="shared" si="6"/>
        <v>154</v>
      </c>
      <c r="J30" s="23">
        <f>14625+2243+2880+1170+5767+116+148+2601</f>
        <v>29550</v>
      </c>
      <c r="K30" s="23">
        <f>149+37+36+37+122+2+2+36</f>
        <v>421</v>
      </c>
      <c r="L30" s="23">
        <f>166+31+54+12+67+1+27</f>
        <v>358</v>
      </c>
      <c r="M30" s="23">
        <f t="shared" si="7"/>
        <v>63</v>
      </c>
      <c r="N30" s="23">
        <v>103</v>
      </c>
      <c r="O30" s="23">
        <v>281</v>
      </c>
      <c r="P30" s="23">
        <v>21</v>
      </c>
      <c r="Q30" s="23">
        <f t="shared" si="8"/>
        <v>260</v>
      </c>
      <c r="R30" s="23">
        <f t="shared" si="12"/>
        <v>61921</v>
      </c>
      <c r="S30" s="23">
        <f t="shared" si="13"/>
        <v>1148</v>
      </c>
      <c r="T30" s="23">
        <f t="shared" si="10"/>
        <v>814</v>
      </c>
      <c r="U30" s="23">
        <f t="shared" si="14"/>
        <v>334</v>
      </c>
    </row>
    <row r="31" spans="1:52" s="5" customFormat="1" ht="11.25">
      <c r="A31" s="17" t="s">
        <v>17</v>
      </c>
      <c r="B31" s="23">
        <f>B8</f>
        <v>11976</v>
      </c>
      <c r="C31" s="31">
        <f>C8-C30-C29-C28</f>
        <v>53</v>
      </c>
      <c r="D31" s="31">
        <f>D8-D30-D29-D28</f>
        <v>175</v>
      </c>
      <c r="E31" s="23">
        <f t="shared" si="11"/>
        <v>-122</v>
      </c>
      <c r="F31" s="23">
        <v>20334</v>
      </c>
      <c r="G31" s="31">
        <f>G8-G30-G29-G28</f>
        <v>287</v>
      </c>
      <c r="H31" s="31">
        <f>H8-H30-H29-H28</f>
        <v>217</v>
      </c>
      <c r="I31" s="23">
        <f t="shared" si="6"/>
        <v>70</v>
      </c>
      <c r="J31" s="23">
        <f>J8</f>
        <v>29588</v>
      </c>
      <c r="K31" s="23">
        <f>K8-K30-K29-K28</f>
        <v>290</v>
      </c>
      <c r="L31" s="23">
        <f>L8-L30-L29-L28</f>
        <v>422</v>
      </c>
      <c r="M31" s="23">
        <f t="shared" si="7"/>
        <v>-132</v>
      </c>
      <c r="N31" s="23">
        <f>N8</f>
        <v>107</v>
      </c>
      <c r="O31" s="23">
        <f>O8-O30-O29-O28</f>
        <v>270</v>
      </c>
      <c r="P31" s="23">
        <f>P8-P30-P29-P28</f>
        <v>61</v>
      </c>
      <c r="Q31" s="23">
        <f t="shared" si="8"/>
        <v>209</v>
      </c>
      <c r="R31" s="23">
        <f t="shared" si="12"/>
        <v>62005</v>
      </c>
      <c r="S31" s="23">
        <f t="shared" si="13"/>
        <v>900</v>
      </c>
      <c r="T31" s="23">
        <f t="shared" si="10"/>
        <v>875</v>
      </c>
      <c r="U31" s="23">
        <f t="shared" si="14"/>
        <v>25</v>
      </c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</row>
    <row r="32" spans="1:52" s="5" customFormat="1" ht="11.25">
      <c r="A32" s="17" t="s">
        <v>27</v>
      </c>
      <c r="B32" s="23">
        <f>11894+31</f>
        <v>11925</v>
      </c>
      <c r="C32" s="31">
        <v>129</v>
      </c>
      <c r="D32" s="31">
        <v>190</v>
      </c>
      <c r="E32" s="23">
        <f t="shared" si="11"/>
        <v>-61</v>
      </c>
      <c r="F32" s="23">
        <f>56+12643+13+7551</f>
        <v>20263</v>
      </c>
      <c r="G32" s="31">
        <f>0+213+0+218</f>
        <v>431</v>
      </c>
      <c r="H32" s="31">
        <f>0+291+2+214</f>
        <v>507</v>
      </c>
      <c r="I32" s="23">
        <f t="shared" si="6"/>
        <v>-76</v>
      </c>
      <c r="J32" s="23">
        <f>14469+2222+2882+1184+5856+123+149+2599+0</f>
        <v>29484</v>
      </c>
      <c r="K32" s="23">
        <f>204+37+49+43+141+4+0+29+0</f>
        <v>507</v>
      </c>
      <c r="L32" s="23">
        <f>341+66+59+29+173+2+13+49+0</f>
        <v>732</v>
      </c>
      <c r="M32" s="23">
        <f t="shared" si="7"/>
        <v>-225</v>
      </c>
      <c r="N32" s="23">
        <v>204</v>
      </c>
      <c r="O32" s="23">
        <v>495</v>
      </c>
      <c r="P32" s="23">
        <v>74</v>
      </c>
      <c r="Q32" s="23">
        <f t="shared" si="8"/>
        <v>421</v>
      </c>
      <c r="R32" s="23">
        <f t="shared" si="12"/>
        <v>61876</v>
      </c>
      <c r="S32" s="23">
        <f t="shared" si="13"/>
        <v>1562</v>
      </c>
      <c r="T32" s="23">
        <f t="shared" si="10"/>
        <v>1503</v>
      </c>
      <c r="U32" s="23">
        <f t="shared" si="14"/>
        <v>59</v>
      </c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</row>
    <row r="33" spans="1:52" s="5" customFormat="1" ht="11.25">
      <c r="A33" s="17" t="s">
        <v>15</v>
      </c>
      <c r="B33" s="23">
        <f>11871+34</f>
        <v>11905</v>
      </c>
      <c r="C33" s="31">
        <v>113</v>
      </c>
      <c r="D33" s="31">
        <v>151</v>
      </c>
      <c r="E33" s="23">
        <f t="shared" si="11"/>
        <v>-38</v>
      </c>
      <c r="F33" s="23">
        <f>55+12587+13+7697</f>
        <v>20352</v>
      </c>
      <c r="G33" s="31">
        <f>131+224</f>
        <v>355</v>
      </c>
      <c r="H33" s="31">
        <f>149+1+203+2</f>
        <v>355</v>
      </c>
      <c r="I33" s="23">
        <f t="shared" si="6"/>
        <v>0</v>
      </c>
      <c r="J33" s="23">
        <f>14498+2225+2876+1204+5935+120+149+2577</f>
        <v>29584</v>
      </c>
      <c r="K33" s="23">
        <f>15+2+96+34+55+25+158</f>
        <v>385</v>
      </c>
      <c r="L33" s="23">
        <f>171+42+68+19+75+4+3+48</f>
        <v>430</v>
      </c>
      <c r="M33" s="23">
        <f t="shared" si="7"/>
        <v>-45</v>
      </c>
      <c r="N33" s="23">
        <v>147</v>
      </c>
      <c r="O33" s="23">
        <v>374</v>
      </c>
      <c r="P33" s="23">
        <v>22</v>
      </c>
      <c r="Q33" s="23">
        <f t="shared" si="8"/>
        <v>352</v>
      </c>
      <c r="R33" s="23">
        <f t="shared" si="12"/>
        <v>61988</v>
      </c>
      <c r="S33" s="23">
        <f t="shared" si="13"/>
        <v>1227</v>
      </c>
      <c r="T33" s="23">
        <f t="shared" si="10"/>
        <v>958</v>
      </c>
      <c r="U33" s="23">
        <f t="shared" si="14"/>
        <v>269</v>
      </c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</row>
    <row r="34" spans="1:52" s="5" customFormat="1" ht="11.25">
      <c r="A34" s="17" t="s">
        <v>16</v>
      </c>
      <c r="B34" s="23">
        <f>11837+31</f>
        <v>11868</v>
      </c>
      <c r="C34" s="31">
        <v>155</v>
      </c>
      <c r="D34" s="31">
        <v>198</v>
      </c>
      <c r="E34" s="23">
        <f t="shared" si="11"/>
        <v>-43</v>
      </c>
      <c r="F34" s="23">
        <f>55+12687+14+7860</f>
        <v>20616</v>
      </c>
      <c r="G34" s="31">
        <f>195+167</f>
        <v>362</v>
      </c>
      <c r="H34" s="31">
        <f>98+55</f>
        <v>153</v>
      </c>
      <c r="I34" s="23">
        <f t="shared" si="6"/>
        <v>209</v>
      </c>
      <c r="J34" s="23">
        <f>14600+2248+2920+1231+6015+120+155+2606</f>
        <v>29895</v>
      </c>
      <c r="K34" s="23">
        <f>198+30+56+46+73+2+35</f>
        <v>440</v>
      </c>
      <c r="L34" s="23">
        <f>11+1+70+23+24+26+203</f>
        <v>358</v>
      </c>
      <c r="M34" s="23">
        <f t="shared" si="7"/>
        <v>82</v>
      </c>
      <c r="N34" s="23">
        <v>166</v>
      </c>
      <c r="O34" s="23">
        <v>299</v>
      </c>
      <c r="P34" s="23">
        <v>22</v>
      </c>
      <c r="Q34" s="23">
        <f t="shared" si="8"/>
        <v>277</v>
      </c>
      <c r="R34" s="23">
        <f t="shared" si="12"/>
        <v>62545</v>
      </c>
      <c r="S34" s="23">
        <f t="shared" si="13"/>
        <v>1256</v>
      </c>
      <c r="T34" s="23">
        <f t="shared" si="10"/>
        <v>731</v>
      </c>
      <c r="U34" s="23">
        <f t="shared" si="14"/>
        <v>525</v>
      </c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</row>
    <row r="35" spans="1:52" s="5" customFormat="1" ht="11.25">
      <c r="A35" s="17" t="s">
        <v>17</v>
      </c>
      <c r="B35" s="23">
        <f>11793+30</f>
        <v>11823</v>
      </c>
      <c r="C35" s="31">
        <f>C9-C34-C33-C32</f>
        <v>76</v>
      </c>
      <c r="D35" s="31">
        <f>D9-D34-D33-D32</f>
        <v>130</v>
      </c>
      <c r="E35" s="23">
        <f t="shared" si="11"/>
        <v>-54</v>
      </c>
      <c r="F35" s="23">
        <f>55+12677+14+7962</f>
        <v>20708</v>
      </c>
      <c r="G35" s="31">
        <f>G9-G34-G33-G32</f>
        <v>326</v>
      </c>
      <c r="H35" s="31">
        <f>H9-H34-H33-H32</f>
        <v>298</v>
      </c>
      <c r="I35" s="23">
        <f t="shared" si="6"/>
        <v>28</v>
      </c>
      <c r="J35" s="23">
        <f>14614+2255+2919+1249+6076+123+157+2612</f>
        <v>30005</v>
      </c>
      <c r="K35" s="31">
        <f>K9-K34-K33-K32</f>
        <v>439</v>
      </c>
      <c r="L35" s="31">
        <f>L9-L34-L33-L32</f>
        <v>524</v>
      </c>
      <c r="M35" s="23">
        <f t="shared" si="7"/>
        <v>-85</v>
      </c>
      <c r="N35" s="23">
        <v>162</v>
      </c>
      <c r="O35" s="31">
        <f>O9-O34-O33-O32</f>
        <v>348</v>
      </c>
      <c r="P35" s="31">
        <f>P9-P34-P33-P32</f>
        <v>108</v>
      </c>
      <c r="Q35" s="23">
        <f t="shared" si="8"/>
        <v>240</v>
      </c>
      <c r="R35" s="23">
        <f t="shared" si="12"/>
        <v>62698</v>
      </c>
      <c r="S35" s="23">
        <f t="shared" si="13"/>
        <v>1189</v>
      </c>
      <c r="T35" s="23">
        <f t="shared" si="10"/>
        <v>1060</v>
      </c>
      <c r="U35" s="23">
        <f t="shared" si="14"/>
        <v>129</v>
      </c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</row>
    <row r="36" spans="1:52" s="5" customFormat="1" ht="11.25">
      <c r="A36" s="17" t="s">
        <v>28</v>
      </c>
      <c r="B36" s="23">
        <f>11650+29</f>
        <v>11679</v>
      </c>
      <c r="C36" s="31">
        <v>149</v>
      </c>
      <c r="D36" s="31">
        <v>308</v>
      </c>
      <c r="E36" s="23">
        <f t="shared" si="11"/>
        <v>-159</v>
      </c>
      <c r="F36" s="23">
        <f>53+12564+14+7995</f>
        <v>20626</v>
      </c>
      <c r="G36" s="31">
        <f>261+196</f>
        <v>457</v>
      </c>
      <c r="H36" s="31">
        <f>339+275</f>
        <v>614</v>
      </c>
      <c r="I36" s="23">
        <f t="shared" si="6"/>
        <v>-157</v>
      </c>
      <c r="J36" s="23">
        <f>14489+2242+2817+1270+6144+126+158+2608</f>
        <v>29854</v>
      </c>
      <c r="K36" s="31">
        <f>41+3+3+166+58+32+27+284</f>
        <v>614</v>
      </c>
      <c r="L36" s="31">
        <f>453+73+150+45+175+3+5+56</f>
        <v>960</v>
      </c>
      <c r="M36" s="23">
        <f t="shared" si="7"/>
        <v>-346</v>
      </c>
      <c r="N36" s="23">
        <v>195</v>
      </c>
      <c r="O36" s="31">
        <v>431</v>
      </c>
      <c r="P36" s="31">
        <v>80</v>
      </c>
      <c r="Q36" s="23">
        <f t="shared" si="8"/>
        <v>351</v>
      </c>
      <c r="R36" s="23">
        <f t="shared" si="12"/>
        <v>62354</v>
      </c>
      <c r="S36" s="23">
        <f t="shared" si="13"/>
        <v>1651</v>
      </c>
      <c r="T36" s="23">
        <f t="shared" si="10"/>
        <v>1962</v>
      </c>
      <c r="U36" s="23">
        <f t="shared" si="14"/>
        <v>-311</v>
      </c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</row>
    <row r="37" spans="1:52" s="5" customFormat="1" ht="11.25">
      <c r="A37" s="17" t="s">
        <v>15</v>
      </c>
      <c r="B37" s="23">
        <f>11650+31</f>
        <v>11681</v>
      </c>
      <c r="C37" s="31">
        <v>88</v>
      </c>
      <c r="D37" s="31">
        <v>90</v>
      </c>
      <c r="E37" s="23">
        <f t="shared" si="11"/>
        <v>-2</v>
      </c>
      <c r="F37" s="23">
        <f>53+12662+14+8231</f>
        <v>20960</v>
      </c>
      <c r="G37" s="31">
        <f>203+300</f>
        <v>503</v>
      </c>
      <c r="H37" s="31">
        <f>1+134+102</f>
        <v>237</v>
      </c>
      <c r="I37" s="23">
        <f t="shared" si="6"/>
        <v>266</v>
      </c>
      <c r="J37" s="23">
        <f>14606+2271+2876+1302+6281+127+165+2629</f>
        <v>30257</v>
      </c>
      <c r="K37" s="31">
        <f>244+32+76+41+110+1+3+24</f>
        <v>531</v>
      </c>
      <c r="L37" s="31">
        <f>166+28+31+23+52+28</f>
        <v>328</v>
      </c>
      <c r="M37" s="23">
        <f t="shared" si="7"/>
        <v>203</v>
      </c>
      <c r="N37" s="23">
        <v>196</v>
      </c>
      <c r="O37" s="31">
        <v>379</v>
      </c>
      <c r="P37" s="31">
        <v>33</v>
      </c>
      <c r="Q37" s="23">
        <f t="shared" si="8"/>
        <v>346</v>
      </c>
      <c r="R37" s="23">
        <f t="shared" si="12"/>
        <v>63094</v>
      </c>
      <c r="S37" s="23">
        <f t="shared" si="13"/>
        <v>1501</v>
      </c>
      <c r="T37" s="23">
        <f t="shared" si="10"/>
        <v>688</v>
      </c>
      <c r="U37" s="23">
        <f t="shared" si="14"/>
        <v>813</v>
      </c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</row>
    <row r="38" spans="1:52" s="5" customFormat="1" ht="11.25">
      <c r="A38" s="17" t="s">
        <v>16</v>
      </c>
      <c r="B38" s="23">
        <f>11684+32</f>
        <v>11716</v>
      </c>
      <c r="C38" s="31">
        <v>111</v>
      </c>
      <c r="D38" s="31">
        <v>79</v>
      </c>
      <c r="E38" s="23">
        <f t="shared" si="11"/>
        <v>32</v>
      </c>
      <c r="F38" s="23">
        <f>53+12668+15+8360</f>
        <v>21096</v>
      </c>
      <c r="G38" s="31">
        <f>114+173</f>
        <v>287</v>
      </c>
      <c r="H38" s="31">
        <f>124+71</f>
        <v>195</v>
      </c>
      <c r="I38" s="23">
        <f t="shared" si="6"/>
        <v>92</v>
      </c>
      <c r="J38" s="23">
        <f>14645+2287+2917+1337+6431+129+166+2626</f>
        <v>30538</v>
      </c>
      <c r="K38" s="31">
        <f>180+28+68+54+105+1+16</f>
        <v>452</v>
      </c>
      <c r="L38" s="31">
        <f>185+24+32+19+50+1+1+27</f>
        <v>339</v>
      </c>
      <c r="M38" s="23">
        <f t="shared" si="7"/>
        <v>113</v>
      </c>
      <c r="N38" s="23">
        <v>196</v>
      </c>
      <c r="O38" s="31">
        <v>323</v>
      </c>
      <c r="P38" s="31">
        <v>26</v>
      </c>
      <c r="Q38" s="23">
        <f t="shared" si="8"/>
        <v>297</v>
      </c>
      <c r="R38" s="23">
        <f t="shared" si="12"/>
        <v>63546</v>
      </c>
      <c r="S38" s="23">
        <f t="shared" si="13"/>
        <v>1173</v>
      </c>
      <c r="T38" s="23">
        <f t="shared" si="10"/>
        <v>639</v>
      </c>
      <c r="U38" s="23">
        <f t="shared" si="14"/>
        <v>534</v>
      </c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</row>
    <row r="39" spans="1:52" s="5" customFormat="1" ht="11.25">
      <c r="A39" s="17" t="s">
        <v>17</v>
      </c>
      <c r="B39" s="23">
        <f>11589+30</f>
        <v>11619</v>
      </c>
      <c r="C39" s="31">
        <v>69</v>
      </c>
      <c r="D39" s="31">
        <v>193</v>
      </c>
      <c r="E39" s="23">
        <f t="shared" si="11"/>
        <v>-124</v>
      </c>
      <c r="F39" s="23">
        <f>52+12703+17+8530</f>
        <v>21302</v>
      </c>
      <c r="G39" s="31">
        <f>148+190</f>
        <v>338</v>
      </c>
      <c r="H39" s="31">
        <f>2+177+110</f>
        <v>289</v>
      </c>
      <c r="I39" s="23">
        <f t="shared" si="6"/>
        <v>49</v>
      </c>
      <c r="J39" s="23">
        <f>14603+2289+2946+1372+6502+131+161+2646</f>
        <v>30650</v>
      </c>
      <c r="K39" s="31">
        <f>192+25+58+43+111+1+28</f>
        <v>458</v>
      </c>
      <c r="L39" s="31">
        <f>256+50+51+33+107+3+4+28</f>
        <v>532</v>
      </c>
      <c r="M39" s="23">
        <f t="shared" si="7"/>
        <v>-74</v>
      </c>
      <c r="N39" s="23">
        <v>89</v>
      </c>
      <c r="O39" s="31">
        <v>372</v>
      </c>
      <c r="P39" s="31">
        <v>90</v>
      </c>
      <c r="Q39" s="23">
        <f t="shared" si="8"/>
        <v>282</v>
      </c>
      <c r="R39" s="23">
        <f t="shared" si="12"/>
        <v>63660</v>
      </c>
      <c r="S39" s="23">
        <f t="shared" si="13"/>
        <v>1237</v>
      </c>
      <c r="T39" s="23">
        <f t="shared" si="10"/>
        <v>1104</v>
      </c>
      <c r="U39" s="23">
        <f t="shared" si="14"/>
        <v>133</v>
      </c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</row>
    <row r="40" spans="1:52" s="5" customFormat="1" ht="11.25">
      <c r="A40" s="17" t="s">
        <v>29</v>
      </c>
      <c r="B40" s="23">
        <f>11406+30</f>
        <v>11436</v>
      </c>
      <c r="C40" s="31">
        <v>174</v>
      </c>
      <c r="D40" s="31">
        <v>358</v>
      </c>
      <c r="E40" s="23">
        <f t="shared" si="11"/>
        <v>-184</v>
      </c>
      <c r="F40" s="23">
        <f>53+12659+17+8563</f>
        <v>21292</v>
      </c>
      <c r="G40" s="31">
        <f>334+272</f>
        <v>606</v>
      </c>
      <c r="H40" s="31">
        <f>1+333+316</f>
        <v>650</v>
      </c>
      <c r="I40" s="23">
        <f t="shared" si="6"/>
        <v>-44</v>
      </c>
      <c r="J40" s="23">
        <f>14519+2298+2957+1386+6675+135+163+2602</f>
        <v>30735</v>
      </c>
      <c r="K40" s="31">
        <f>288+44+76+51+190+6+1+29</f>
        <v>685</v>
      </c>
      <c r="L40" s="31">
        <f>417+52+73+37+148+4+2+56</f>
        <v>789</v>
      </c>
      <c r="M40" s="23">
        <f t="shared" si="7"/>
        <v>-104</v>
      </c>
      <c r="N40" s="23">
        <v>97</v>
      </c>
      <c r="O40" s="31">
        <v>415</v>
      </c>
      <c r="P40" s="31">
        <v>100</v>
      </c>
      <c r="Q40" s="23">
        <f t="shared" si="8"/>
        <v>315</v>
      </c>
      <c r="R40" s="23">
        <f t="shared" si="12"/>
        <v>63560</v>
      </c>
      <c r="S40" s="23">
        <f t="shared" si="13"/>
        <v>1880</v>
      </c>
      <c r="T40" s="23">
        <f t="shared" si="10"/>
        <v>1897</v>
      </c>
      <c r="U40" s="23">
        <f t="shared" si="14"/>
        <v>-17</v>
      </c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</row>
    <row r="41" spans="1:52" s="5" customFormat="1" ht="11.25">
      <c r="A41" s="17" t="s">
        <v>15</v>
      </c>
      <c r="B41" s="23">
        <f>11379+31</f>
        <v>11410</v>
      </c>
      <c r="C41" s="31">
        <v>98</v>
      </c>
      <c r="D41" s="31">
        <v>133</v>
      </c>
      <c r="E41" s="23">
        <f t="shared" si="11"/>
        <v>-35</v>
      </c>
      <c r="F41" s="23">
        <f>52+12750+17+8739</f>
        <v>21558</v>
      </c>
      <c r="G41" s="31">
        <f>239+183</f>
        <v>422</v>
      </c>
      <c r="H41" s="31">
        <f>105+122+1</f>
        <v>228</v>
      </c>
      <c r="I41" s="23">
        <f t="shared" si="6"/>
        <v>194</v>
      </c>
      <c r="J41" s="23">
        <f>14584+2320+2997+1421+6807+139+167+2624</f>
        <v>31059</v>
      </c>
      <c r="K41" s="31">
        <f>22+3+5+125+47+57+35+208</f>
        <v>502</v>
      </c>
      <c r="L41" s="31">
        <f>175+34+37+24+69+1+24</f>
        <v>364</v>
      </c>
      <c r="M41" s="23">
        <f t="shared" si="7"/>
        <v>138</v>
      </c>
      <c r="N41" s="23">
        <v>97</v>
      </c>
      <c r="O41" s="31">
        <v>349</v>
      </c>
      <c r="P41" s="31">
        <v>43</v>
      </c>
      <c r="Q41" s="23">
        <f t="shared" si="8"/>
        <v>306</v>
      </c>
      <c r="R41" s="23">
        <f t="shared" si="12"/>
        <v>64124</v>
      </c>
      <c r="S41" s="23">
        <f t="shared" si="13"/>
        <v>1371</v>
      </c>
      <c r="T41" s="23">
        <f t="shared" si="10"/>
        <v>768</v>
      </c>
      <c r="U41" s="23">
        <f t="shared" si="14"/>
        <v>603</v>
      </c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</row>
    <row r="42" spans="1:52" s="5" customFormat="1" ht="11.25">
      <c r="A42" s="17" t="s">
        <v>16</v>
      </c>
      <c r="B42" s="23">
        <f>11271+31</f>
        <v>11302</v>
      </c>
      <c r="C42" s="31">
        <v>47</v>
      </c>
      <c r="D42" s="31">
        <v>161</v>
      </c>
      <c r="E42" s="23">
        <f t="shared" si="11"/>
        <v>-114</v>
      </c>
      <c r="F42" s="23">
        <f>51+12746+17+8851</f>
        <v>21665</v>
      </c>
      <c r="G42" s="31">
        <f>161+116</f>
        <v>277</v>
      </c>
      <c r="H42" s="31">
        <f>100+126</f>
        <v>226</v>
      </c>
      <c r="I42" s="23">
        <f t="shared" si="6"/>
        <v>51</v>
      </c>
      <c r="J42" s="23">
        <f>14596+2340+2995+1446+6915+139+170+2622</f>
        <v>31223</v>
      </c>
      <c r="K42" s="31">
        <f>167+40+39+43+84+1+1+21</f>
        <v>396</v>
      </c>
      <c r="L42" s="31">
        <f>168+28+52+26+57+1+1+25</f>
        <v>358</v>
      </c>
      <c r="M42" s="23">
        <f t="shared" si="7"/>
        <v>38</v>
      </c>
      <c r="N42" s="23">
        <v>102</v>
      </c>
      <c r="O42" s="31">
        <v>264</v>
      </c>
      <c r="P42" s="31">
        <v>40</v>
      </c>
      <c r="Q42" s="23">
        <f t="shared" si="8"/>
        <v>224</v>
      </c>
      <c r="R42" s="23">
        <f t="shared" si="12"/>
        <v>64292</v>
      </c>
      <c r="S42" s="23">
        <f t="shared" si="13"/>
        <v>984</v>
      </c>
      <c r="T42" s="23">
        <f t="shared" si="10"/>
        <v>785</v>
      </c>
      <c r="U42" s="23">
        <f t="shared" si="14"/>
        <v>199</v>
      </c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</row>
    <row r="43" spans="1:52" s="5" customFormat="1" ht="11.25">
      <c r="A43" s="17" t="s">
        <v>17</v>
      </c>
      <c r="B43" s="23">
        <f>11249+31</f>
        <v>11280</v>
      </c>
      <c r="C43" s="31">
        <f>370-C42-C41-C40</f>
        <v>51</v>
      </c>
      <c r="D43" s="31">
        <f>724-D42-D41-D40</f>
        <v>72</v>
      </c>
      <c r="E43" s="23">
        <f t="shared" si="11"/>
        <v>-21</v>
      </c>
      <c r="F43" s="23">
        <f>50+12755+17+8935</f>
        <v>21757</v>
      </c>
      <c r="G43" s="31">
        <f>710+913-G42-G41-G40</f>
        <v>318</v>
      </c>
      <c r="H43" s="31">
        <f>3+730+652-H42-H41-H40</f>
        <v>281</v>
      </c>
      <c r="I43" s="23">
        <f t="shared" si="6"/>
        <v>37</v>
      </c>
      <c r="J43" s="23">
        <f>14629+2321+2998+1459+7019+140+173+2630</f>
        <v>31369</v>
      </c>
      <c r="K43" s="31">
        <f>841+146+206+167+505+14+7+97-K42-K41-K40</f>
        <v>400</v>
      </c>
      <c r="L43" s="31">
        <f>937+157+207+115+374+7+4+129-L42-L41-L40</f>
        <v>419</v>
      </c>
      <c r="M43" s="23">
        <f t="shared" si="7"/>
        <v>-19</v>
      </c>
      <c r="N43" s="23">
        <v>98</v>
      </c>
      <c r="O43" s="31">
        <f>1356-O42-O41-O40</f>
        <v>328</v>
      </c>
      <c r="P43" s="31">
        <f>275-P42-P41-P40</f>
        <v>92</v>
      </c>
      <c r="Q43" s="23">
        <f t="shared" si="8"/>
        <v>236</v>
      </c>
      <c r="R43" s="23">
        <f t="shared" si="12"/>
        <v>64504</v>
      </c>
      <c r="S43" s="23">
        <f t="shared" si="13"/>
        <v>1097</v>
      </c>
      <c r="T43" s="23">
        <f t="shared" si="10"/>
        <v>864</v>
      </c>
      <c r="U43" s="23">
        <f t="shared" si="14"/>
        <v>233</v>
      </c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</row>
    <row r="44" spans="1:52" s="5" customFormat="1" ht="11.25">
      <c r="A44" s="17" t="s">
        <v>30</v>
      </c>
      <c r="B44" s="23">
        <f>11170+31</f>
        <v>11201</v>
      </c>
      <c r="C44" s="31">
        <v>91</v>
      </c>
      <c r="D44" s="31">
        <v>171</v>
      </c>
      <c r="E44" s="23">
        <f t="shared" si="11"/>
        <v>-80</v>
      </c>
      <c r="F44" s="23">
        <f>48+12612+18+9005</f>
        <v>21683</v>
      </c>
      <c r="G44" s="31">
        <f>323+215</f>
        <v>538</v>
      </c>
      <c r="H44" s="31">
        <f>353+292</f>
        <v>645</v>
      </c>
      <c r="I44" s="23">
        <f t="shared" si="6"/>
        <v>-107</v>
      </c>
      <c r="J44" s="23">
        <f>14499+2307+3004+1446+7071+140+174+2615</f>
        <v>31256</v>
      </c>
      <c r="K44" s="31">
        <f>230+37+51+40+134+1+32</f>
        <v>525</v>
      </c>
      <c r="L44" s="31">
        <f>409+65+62+56+148+3+2+57</f>
        <v>802</v>
      </c>
      <c r="M44" s="23">
        <f t="shared" si="7"/>
        <v>-277</v>
      </c>
      <c r="N44" s="23">
        <v>112</v>
      </c>
      <c r="O44" s="31">
        <v>500</v>
      </c>
      <c r="P44" s="31">
        <v>133</v>
      </c>
      <c r="Q44" s="23">
        <f t="shared" si="8"/>
        <v>367</v>
      </c>
      <c r="R44" s="23">
        <f t="shared" si="12"/>
        <v>64252</v>
      </c>
      <c r="S44" s="23">
        <f t="shared" si="13"/>
        <v>1654</v>
      </c>
      <c r="T44" s="23">
        <f t="shared" si="10"/>
        <v>1751</v>
      </c>
      <c r="U44" s="23">
        <f t="shared" si="14"/>
        <v>-97</v>
      </c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</row>
    <row r="45" spans="1:52" s="5" customFormat="1" ht="11.25">
      <c r="A45" s="17" t="s">
        <v>15</v>
      </c>
      <c r="B45" s="23">
        <f>11148+32</f>
        <v>11180</v>
      </c>
      <c r="C45" s="31">
        <f>112+1</f>
        <v>113</v>
      </c>
      <c r="D45" s="31">
        <f>219+1</f>
        <v>220</v>
      </c>
      <c r="E45" s="23">
        <f t="shared" si="11"/>
        <v>-107</v>
      </c>
      <c r="F45" s="23">
        <f>48+12649+19+9186</f>
        <v>21902</v>
      </c>
      <c r="G45" s="31">
        <f>173+300</f>
        <v>473</v>
      </c>
      <c r="H45" s="31">
        <f>1+148+131</f>
        <v>280</v>
      </c>
      <c r="I45" s="23">
        <f t="shared" si="6"/>
        <v>193</v>
      </c>
      <c r="J45" s="23">
        <f>14530+2312+3052+1432+7232+141+174+2642</f>
        <v>31515</v>
      </c>
      <c r="K45" s="31">
        <f>207+34+64+18+89+1+2+29</f>
        <v>444</v>
      </c>
      <c r="L45" s="31">
        <f>213+33+39+37+67+1+2+15</f>
        <v>407</v>
      </c>
      <c r="M45" s="23">
        <f t="shared" si="7"/>
        <v>37</v>
      </c>
      <c r="N45" s="23">
        <v>109</v>
      </c>
      <c r="O45" s="31">
        <v>411</v>
      </c>
      <c r="P45" s="31">
        <v>41</v>
      </c>
      <c r="Q45" s="23">
        <f t="shared" si="8"/>
        <v>370</v>
      </c>
      <c r="R45" s="23">
        <f t="shared" si="12"/>
        <v>64706</v>
      </c>
      <c r="S45" s="23">
        <f t="shared" si="13"/>
        <v>1441</v>
      </c>
      <c r="T45" s="23">
        <f t="shared" si="10"/>
        <v>948</v>
      </c>
      <c r="U45" s="23">
        <f t="shared" si="14"/>
        <v>493</v>
      </c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</row>
    <row r="46" spans="1:52" s="5" customFormat="1" ht="11.25">
      <c r="A46" s="17" t="s">
        <v>16</v>
      </c>
      <c r="B46" s="23">
        <f>11109+33</f>
        <v>11142</v>
      </c>
      <c r="C46" s="31">
        <f>125+1</f>
        <v>126</v>
      </c>
      <c r="D46" s="31">
        <f>171</f>
        <v>171</v>
      </c>
      <c r="E46" s="23">
        <f t="shared" si="11"/>
        <v>-45</v>
      </c>
      <c r="F46" s="23">
        <f>48+12601+20+9239</f>
        <v>21908</v>
      </c>
      <c r="G46" s="31">
        <f>107+165</f>
        <v>272</v>
      </c>
      <c r="H46" s="31">
        <f>125+1+175+1</f>
        <v>302</v>
      </c>
      <c r="I46" s="23">
        <f t="shared" si="6"/>
        <v>-30</v>
      </c>
      <c r="J46" s="23">
        <f>14550+2346+3049+1453+7275+140+170+2650</f>
        <v>31633</v>
      </c>
      <c r="K46" s="31">
        <f>174+25+38+31+71+1+24</f>
        <v>364</v>
      </c>
      <c r="L46" s="31">
        <f>206+25+50+25+82+30</f>
        <v>418</v>
      </c>
      <c r="M46" s="23">
        <f t="shared" si="7"/>
        <v>-54</v>
      </c>
      <c r="N46" s="23">
        <v>87</v>
      </c>
      <c r="O46" s="31">
        <v>347</v>
      </c>
      <c r="P46" s="31">
        <v>50</v>
      </c>
      <c r="Q46" s="23">
        <f t="shared" si="8"/>
        <v>297</v>
      </c>
      <c r="R46" s="23">
        <f t="shared" si="12"/>
        <v>64770</v>
      </c>
      <c r="S46" s="23">
        <f t="shared" si="13"/>
        <v>1109</v>
      </c>
      <c r="T46" s="23">
        <f t="shared" si="10"/>
        <v>941</v>
      </c>
      <c r="U46" s="23">
        <f t="shared" si="14"/>
        <v>168</v>
      </c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</row>
    <row r="47" spans="1:52" s="5" customFormat="1" ht="11.25">
      <c r="A47" s="17" t="s">
        <v>17</v>
      </c>
      <c r="B47" s="23">
        <f>11084+32</f>
        <v>11116</v>
      </c>
      <c r="C47" s="31">
        <f>61</f>
        <v>61</v>
      </c>
      <c r="D47" s="31">
        <f>96+1</f>
        <v>97</v>
      </c>
      <c r="E47" s="23">
        <f t="shared" si="11"/>
        <v>-36</v>
      </c>
      <c r="F47" s="23">
        <f>48+12643+18+9420</f>
        <v>22129</v>
      </c>
      <c r="G47" s="31">
        <f>222+146+1</f>
        <v>369</v>
      </c>
      <c r="H47" s="31">
        <f>163+2+129</f>
        <v>294</v>
      </c>
      <c r="I47" s="23">
        <f t="shared" si="6"/>
        <v>75</v>
      </c>
      <c r="J47" s="23">
        <f>14652+2364+3074+1438+7506+142+177+2662</f>
        <v>32015</v>
      </c>
      <c r="K47" s="31">
        <f>29+3+1+111+23+46+23+212</f>
        <v>448</v>
      </c>
      <c r="L47" s="31">
        <f>236+48+41+49+118+1+3+24</f>
        <v>520</v>
      </c>
      <c r="M47" s="23">
        <f t="shared" si="7"/>
        <v>-72</v>
      </c>
      <c r="N47" s="23">
        <v>80</v>
      </c>
      <c r="O47" s="31">
        <v>341</v>
      </c>
      <c r="P47" s="31">
        <v>93</v>
      </c>
      <c r="Q47" s="23">
        <f t="shared" si="8"/>
        <v>248</v>
      </c>
      <c r="R47" s="23">
        <f t="shared" si="12"/>
        <v>65340</v>
      </c>
      <c r="S47" s="23">
        <f t="shared" si="13"/>
        <v>1219</v>
      </c>
      <c r="T47" s="23">
        <f t="shared" si="10"/>
        <v>1004</v>
      </c>
      <c r="U47" s="23">
        <f t="shared" si="14"/>
        <v>215</v>
      </c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</row>
    <row r="48" spans="1:52" s="5" customFormat="1" ht="11.25">
      <c r="A48" s="17" t="s">
        <v>31</v>
      </c>
      <c r="B48" s="23">
        <f>10822+27</f>
        <v>10849</v>
      </c>
      <c r="C48" s="31">
        <f>152</f>
        <v>152</v>
      </c>
      <c r="D48" s="31">
        <f>407+4</f>
        <v>411</v>
      </c>
      <c r="E48" s="23">
        <f t="shared" si="11"/>
        <v>-259</v>
      </c>
      <c r="F48" s="23">
        <f>46+12439+20+9452</f>
        <v>21957</v>
      </c>
      <c r="G48" s="31">
        <f>313+213</f>
        <v>526</v>
      </c>
      <c r="H48" s="31">
        <f>407+298</f>
        <v>705</v>
      </c>
      <c r="I48" s="23">
        <f t="shared" si="6"/>
        <v>-179</v>
      </c>
      <c r="J48" s="23">
        <f>14514+2365+3078+1403+7540+144+177+2652</f>
        <v>31873</v>
      </c>
      <c r="K48" s="31">
        <f>39+2+1+147+34+46+37+287</f>
        <v>593</v>
      </c>
      <c r="L48" s="31">
        <f>461+71+63+72+172+4+3+53</f>
        <v>899</v>
      </c>
      <c r="M48" s="23">
        <f t="shared" si="7"/>
        <v>-306</v>
      </c>
      <c r="N48" s="23">
        <v>90</v>
      </c>
      <c r="O48" s="31">
        <v>466</v>
      </c>
      <c r="P48" s="31">
        <v>113</v>
      </c>
      <c r="Q48" s="23">
        <f t="shared" si="8"/>
        <v>353</v>
      </c>
      <c r="R48" s="23">
        <f t="shared" si="12"/>
        <v>64769</v>
      </c>
      <c r="S48" s="23">
        <f t="shared" si="13"/>
        <v>1737</v>
      </c>
      <c r="T48" s="23">
        <f t="shared" si="10"/>
        <v>2128</v>
      </c>
      <c r="U48" s="23">
        <f t="shared" si="14"/>
        <v>-391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</row>
    <row r="49" spans="1:52" s="5" customFormat="1" ht="11.25">
      <c r="A49" s="17" t="s">
        <v>15</v>
      </c>
      <c r="B49" s="23">
        <v>10916</v>
      </c>
      <c r="C49" s="31">
        <v>108</v>
      </c>
      <c r="D49" s="31">
        <v>58</v>
      </c>
      <c r="E49" s="23">
        <f t="shared" si="11"/>
        <v>50</v>
      </c>
      <c r="F49" s="23">
        <v>22193</v>
      </c>
      <c r="G49" s="31">
        <v>419</v>
      </c>
      <c r="H49" s="31">
        <v>235</v>
      </c>
      <c r="I49" s="23">
        <f t="shared" si="6"/>
        <v>184</v>
      </c>
      <c r="J49" s="23">
        <v>32280</v>
      </c>
      <c r="K49" s="31">
        <v>449</v>
      </c>
      <c r="L49" s="31">
        <v>309</v>
      </c>
      <c r="M49" s="23">
        <f t="shared" si="7"/>
        <v>140</v>
      </c>
      <c r="N49" s="23">
        <v>69</v>
      </c>
      <c r="O49" s="31">
        <v>321</v>
      </c>
      <c r="P49" s="31">
        <v>27</v>
      </c>
      <c r="Q49" s="23">
        <f t="shared" si="8"/>
        <v>294</v>
      </c>
      <c r="R49" s="23">
        <f t="shared" si="12"/>
        <v>65458</v>
      </c>
      <c r="S49" s="23">
        <f t="shared" si="13"/>
        <v>1297</v>
      </c>
      <c r="T49" s="23">
        <f t="shared" si="10"/>
        <v>629</v>
      </c>
      <c r="U49" s="23">
        <f t="shared" si="14"/>
        <v>668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</row>
    <row r="50" spans="1:52" s="5" customFormat="1" ht="11.25">
      <c r="A50" s="17" t="s">
        <v>16</v>
      </c>
      <c r="B50" s="23">
        <v>10886</v>
      </c>
      <c r="C50" s="31">
        <v>67</v>
      </c>
      <c r="D50" s="31">
        <v>99</v>
      </c>
      <c r="E50" s="23">
        <f t="shared" si="11"/>
        <v>-32</v>
      </c>
      <c r="F50" s="23">
        <v>22292</v>
      </c>
      <c r="G50" s="31">
        <v>289</v>
      </c>
      <c r="H50" s="31">
        <v>210</v>
      </c>
      <c r="I50" s="23">
        <f t="shared" si="6"/>
        <v>79</v>
      </c>
      <c r="J50" s="23">
        <v>32332</v>
      </c>
      <c r="K50" s="31">
        <v>290</v>
      </c>
      <c r="L50" s="31">
        <v>329</v>
      </c>
      <c r="M50" s="23">
        <f t="shared" si="7"/>
        <v>-39</v>
      </c>
      <c r="N50" s="23">
        <v>61</v>
      </c>
      <c r="O50" s="31">
        <v>302</v>
      </c>
      <c r="P50" s="31">
        <v>26</v>
      </c>
      <c r="Q50" s="23">
        <f t="shared" si="8"/>
        <v>276</v>
      </c>
      <c r="R50" s="23">
        <f t="shared" si="12"/>
        <v>65571</v>
      </c>
      <c r="S50" s="23">
        <f t="shared" si="13"/>
        <v>948</v>
      </c>
      <c r="T50" s="23">
        <f t="shared" si="10"/>
        <v>664</v>
      </c>
      <c r="U50" s="23">
        <f t="shared" si="14"/>
        <v>284</v>
      </c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</row>
    <row r="51" spans="1:52" s="5" customFormat="1" ht="11.25">
      <c r="A51" s="17" t="s">
        <v>17</v>
      </c>
      <c r="B51" s="23">
        <v>10857</v>
      </c>
      <c r="C51" s="31">
        <v>62</v>
      </c>
      <c r="D51" s="31">
        <v>100</v>
      </c>
      <c r="E51" s="23">
        <f t="shared" si="11"/>
        <v>-38</v>
      </c>
      <c r="F51" s="23">
        <v>22336</v>
      </c>
      <c r="G51" s="31">
        <v>341</v>
      </c>
      <c r="H51" s="31">
        <v>296</v>
      </c>
      <c r="I51" s="23">
        <f t="shared" si="6"/>
        <v>45</v>
      </c>
      <c r="J51" s="23">
        <v>32379</v>
      </c>
      <c r="K51" s="31">
        <v>436</v>
      </c>
      <c r="L51" s="31">
        <v>484</v>
      </c>
      <c r="M51" s="23">
        <f t="shared" si="7"/>
        <v>-48</v>
      </c>
      <c r="N51" s="23">
        <v>67</v>
      </c>
      <c r="O51" s="31">
        <v>376</v>
      </c>
      <c r="P51" s="31">
        <v>80</v>
      </c>
      <c r="Q51" s="23">
        <f t="shared" si="8"/>
        <v>296</v>
      </c>
      <c r="R51" s="23">
        <f t="shared" si="12"/>
        <v>65639</v>
      </c>
      <c r="S51" s="23">
        <f t="shared" si="13"/>
        <v>1215</v>
      </c>
      <c r="T51" s="23">
        <f t="shared" si="10"/>
        <v>960</v>
      </c>
      <c r="U51" s="23">
        <f t="shared" si="14"/>
        <v>255</v>
      </c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</row>
    <row r="52" spans="1:52" s="5" customFormat="1" ht="11.25">
      <c r="A52" s="17" t="s">
        <v>61</v>
      </c>
      <c r="B52" s="23">
        <v>10592</v>
      </c>
      <c r="C52" s="31">
        <v>126</v>
      </c>
      <c r="D52" s="31">
        <v>401</v>
      </c>
      <c r="E52" s="23">
        <f t="shared" si="11"/>
        <v>-275</v>
      </c>
      <c r="F52" s="23">
        <v>22362</v>
      </c>
      <c r="G52" s="31">
        <v>569</v>
      </c>
      <c r="H52" s="31">
        <v>623</v>
      </c>
      <c r="I52" s="23">
        <f t="shared" si="6"/>
        <v>-54</v>
      </c>
      <c r="J52" s="23">
        <v>32475</v>
      </c>
      <c r="K52" s="31">
        <v>648</v>
      </c>
      <c r="L52" s="31">
        <v>835</v>
      </c>
      <c r="M52" s="23">
        <f t="shared" si="7"/>
        <v>-187</v>
      </c>
      <c r="N52" s="23">
        <v>129</v>
      </c>
      <c r="O52" s="31">
        <v>478</v>
      </c>
      <c r="P52" s="31">
        <v>96</v>
      </c>
      <c r="Q52" s="23">
        <f t="shared" si="8"/>
        <v>382</v>
      </c>
      <c r="R52" s="23">
        <f t="shared" si="12"/>
        <v>65558</v>
      </c>
      <c r="S52" s="23">
        <f t="shared" si="13"/>
        <v>1821</v>
      </c>
      <c r="T52" s="23">
        <f t="shared" si="10"/>
        <v>1955</v>
      </c>
      <c r="U52" s="23">
        <f t="shared" si="14"/>
        <v>-134</v>
      </c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</row>
    <row r="53" spans="1:21" s="5" customFormat="1" ht="11.25">
      <c r="A53" s="17" t="s">
        <v>15</v>
      </c>
      <c r="B53" s="23">
        <v>10546</v>
      </c>
      <c r="C53" s="17">
        <v>102</v>
      </c>
      <c r="D53" s="17">
        <v>161</v>
      </c>
      <c r="E53" s="17">
        <f t="shared" si="11"/>
        <v>-59</v>
      </c>
      <c r="F53" s="16">
        <v>22612</v>
      </c>
      <c r="G53" s="16">
        <v>507</v>
      </c>
      <c r="H53" s="23">
        <v>313</v>
      </c>
      <c r="I53" s="16">
        <f t="shared" si="6"/>
        <v>194</v>
      </c>
      <c r="J53" s="16">
        <v>32899</v>
      </c>
      <c r="K53" s="16">
        <v>570</v>
      </c>
      <c r="L53" s="16">
        <v>413</v>
      </c>
      <c r="M53" s="16">
        <f t="shared" si="7"/>
        <v>157</v>
      </c>
      <c r="N53" s="16">
        <v>72</v>
      </c>
      <c r="O53" s="16">
        <v>356</v>
      </c>
      <c r="P53" s="16">
        <v>28</v>
      </c>
      <c r="Q53" s="16">
        <f t="shared" si="8"/>
        <v>328</v>
      </c>
      <c r="R53" s="23">
        <f t="shared" si="12"/>
        <v>66129</v>
      </c>
      <c r="S53" s="23">
        <f t="shared" si="13"/>
        <v>1535</v>
      </c>
      <c r="T53" s="23">
        <f t="shared" si="10"/>
        <v>915</v>
      </c>
      <c r="U53" s="16">
        <f t="shared" si="14"/>
        <v>620</v>
      </c>
    </row>
    <row r="54" spans="1:21" s="5" customFormat="1" ht="11.25">
      <c r="A54" s="17" t="s">
        <v>16</v>
      </c>
      <c r="B54" s="23">
        <v>10500</v>
      </c>
      <c r="C54" s="17">
        <v>51</v>
      </c>
      <c r="D54" s="17">
        <v>102</v>
      </c>
      <c r="E54" s="17">
        <f t="shared" si="11"/>
        <v>-51</v>
      </c>
      <c r="F54" s="16">
        <v>22767</v>
      </c>
      <c r="G54" s="16">
        <v>417</v>
      </c>
      <c r="H54" s="23">
        <v>281</v>
      </c>
      <c r="I54" s="16">
        <f t="shared" si="6"/>
        <v>136</v>
      </c>
      <c r="J54" s="16">
        <v>33212</v>
      </c>
      <c r="K54" s="16">
        <v>485</v>
      </c>
      <c r="L54" s="16">
        <v>409</v>
      </c>
      <c r="M54" s="16">
        <f t="shared" si="7"/>
        <v>76</v>
      </c>
      <c r="N54" s="16">
        <v>109</v>
      </c>
      <c r="O54" s="16">
        <v>248</v>
      </c>
      <c r="P54" s="16">
        <v>28</v>
      </c>
      <c r="Q54" s="16">
        <f t="shared" si="8"/>
        <v>220</v>
      </c>
      <c r="R54" s="16">
        <f t="shared" si="12"/>
        <v>66588</v>
      </c>
      <c r="S54" s="23">
        <f t="shared" si="13"/>
        <v>1201</v>
      </c>
      <c r="T54" s="23">
        <f t="shared" si="10"/>
        <v>820</v>
      </c>
      <c r="U54" s="16">
        <f t="shared" si="14"/>
        <v>381</v>
      </c>
    </row>
    <row r="55" spans="1:21" s="5" customFormat="1" ht="11.25">
      <c r="A55" s="17" t="s">
        <v>17</v>
      </c>
      <c r="B55" s="23">
        <v>10499</v>
      </c>
      <c r="C55" s="17">
        <v>69</v>
      </c>
      <c r="D55" s="17">
        <v>75</v>
      </c>
      <c r="E55" s="17">
        <f t="shared" si="11"/>
        <v>-6</v>
      </c>
      <c r="F55" s="16">
        <v>22710</v>
      </c>
      <c r="G55" s="16">
        <v>278</v>
      </c>
      <c r="H55" s="23">
        <v>372</v>
      </c>
      <c r="I55" s="16">
        <f t="shared" si="6"/>
        <v>-94</v>
      </c>
      <c r="J55" s="16">
        <v>33289</v>
      </c>
      <c r="K55" s="16">
        <v>446</v>
      </c>
      <c r="L55" s="16">
        <v>516</v>
      </c>
      <c r="M55" s="16">
        <f t="shared" si="7"/>
        <v>-70</v>
      </c>
      <c r="N55" s="16">
        <v>63</v>
      </c>
      <c r="O55" s="16">
        <v>356</v>
      </c>
      <c r="P55" s="16">
        <v>52</v>
      </c>
      <c r="Q55" s="16">
        <f t="shared" si="8"/>
        <v>304</v>
      </c>
      <c r="R55" s="16">
        <f t="shared" si="12"/>
        <v>66561</v>
      </c>
      <c r="S55" s="16">
        <f t="shared" si="13"/>
        <v>1149</v>
      </c>
      <c r="T55" s="16">
        <f t="shared" si="10"/>
        <v>1015</v>
      </c>
      <c r="U55" s="16">
        <f t="shared" si="14"/>
        <v>134</v>
      </c>
    </row>
    <row r="56" spans="1:21" s="5" customFormat="1" ht="11.25">
      <c r="A56" s="17"/>
      <c r="B56" s="17"/>
      <c r="C56" s="17"/>
      <c r="D56" s="17"/>
      <c r="E56" s="17"/>
      <c r="F56" s="16"/>
      <c r="G56" s="16"/>
      <c r="H56" s="23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1:21" ht="11.25">
      <c r="A57" s="18" t="s">
        <v>32</v>
      </c>
      <c r="S57" s="26"/>
      <c r="T57" s="26"/>
      <c r="U57" s="26"/>
    </row>
    <row r="58" ht="11.25">
      <c r="A58" s="18" t="s">
        <v>33</v>
      </c>
    </row>
    <row r="59" ht="11.25">
      <c r="A59" s="18" t="s">
        <v>34</v>
      </c>
    </row>
    <row r="60" ht="11.25">
      <c r="A60" s="18" t="s">
        <v>35</v>
      </c>
    </row>
    <row r="62" spans="18:20" ht="11.25">
      <c r="R62" s="16"/>
      <c r="S62" s="16"/>
      <c r="T62" s="16"/>
    </row>
    <row r="64" spans="18:20" ht="11.25">
      <c r="R64" s="26"/>
      <c r="T64" s="26"/>
    </row>
  </sheetData>
  <sheetProtection/>
  <printOptions/>
  <pageMargins left="0.3937007874015748" right="0.3937007874015748" top="0.7874015748031497" bottom="0.5905511811023623" header="0.11811023622047245" footer="0.11811023622047245"/>
  <pageSetup fitToHeight="1" fitToWidth="1" horizontalDpi="300" verticalDpi="300" orientation="landscape" paperSize="9" scale="72" r:id="rId2"/>
  <headerFooter alignWithMargins="0">
    <oddFooter>&amp;CRdmov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="75" zoomScaleNormal="75" zoomScalePageLayoutView="0" workbookViewId="0" topLeftCell="A1">
      <selection activeCell="D47" sqref="D47"/>
    </sheetView>
  </sheetViews>
  <sheetFormatPr defaultColWidth="9.140625" defaultRowHeight="12.75"/>
  <cols>
    <col min="1" max="1" width="12.00390625" style="18" customWidth="1"/>
    <col min="2" max="2" width="7.00390625" style="18" customWidth="1"/>
    <col min="3" max="3" width="7.421875" style="18" customWidth="1"/>
    <col min="4" max="4" width="8.28125" style="18" customWidth="1"/>
    <col min="5" max="5" width="5.8515625" style="18" customWidth="1"/>
    <col min="6" max="6" width="6.7109375" style="18" customWidth="1"/>
    <col min="7" max="7" width="8.00390625" style="18" customWidth="1"/>
    <col min="8" max="8" width="8.28125" style="18" customWidth="1"/>
    <col min="9" max="9" width="6.57421875" style="18" customWidth="1"/>
    <col min="10" max="10" width="6.7109375" style="18" customWidth="1"/>
    <col min="11" max="11" width="7.421875" style="18" customWidth="1"/>
    <col min="12" max="12" width="8.421875" style="18" customWidth="1"/>
    <col min="13" max="13" width="6.7109375" style="18" customWidth="1"/>
    <col min="14" max="14" width="6.8515625" style="18" customWidth="1"/>
    <col min="15" max="15" width="8.00390625" style="18" customWidth="1"/>
    <col min="16" max="16" width="8.421875" style="18" customWidth="1"/>
    <col min="17" max="17" width="6.28125" style="18" customWidth="1"/>
    <col min="18" max="18" width="5.8515625" style="18" customWidth="1"/>
    <col min="19" max="19" width="7.421875" style="18" customWidth="1"/>
    <col min="20" max="20" width="8.421875" style="18" customWidth="1"/>
    <col min="21" max="21" width="5.8515625" style="18" customWidth="1"/>
    <col min="22" max="22" width="6.7109375" style="18" customWidth="1"/>
    <col min="23" max="23" width="7.421875" style="18" customWidth="1"/>
    <col min="24" max="24" width="8.421875" style="18" customWidth="1"/>
    <col min="25" max="25" width="5.7109375" style="18" customWidth="1"/>
    <col min="26" max="16384" width="9.140625" style="18" customWidth="1"/>
  </cols>
  <sheetData>
    <row r="1" spans="1:25" ht="24" customHeight="1">
      <c r="A1" s="27" t="s">
        <v>36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3" spans="1:25" s="6" customFormat="1" ht="11.25">
      <c r="A3" s="1" t="s">
        <v>0</v>
      </c>
      <c r="B3" s="2" t="s">
        <v>37</v>
      </c>
      <c r="C3" s="2"/>
      <c r="D3" s="3"/>
      <c r="E3" s="4"/>
      <c r="F3" s="2" t="s">
        <v>38</v>
      </c>
      <c r="G3" s="2"/>
      <c r="H3" s="3"/>
      <c r="I3" s="4"/>
      <c r="J3" s="2" t="s">
        <v>39</v>
      </c>
      <c r="K3" s="2"/>
      <c r="L3" s="3"/>
      <c r="M3" s="4"/>
      <c r="N3" s="2" t="s">
        <v>40</v>
      </c>
      <c r="O3" s="2"/>
      <c r="P3" s="3"/>
      <c r="Q3" s="4"/>
      <c r="R3" s="2" t="s">
        <v>41</v>
      </c>
      <c r="S3" s="2"/>
      <c r="T3" s="3"/>
      <c r="U3" s="4"/>
      <c r="V3" s="2" t="s">
        <v>42</v>
      </c>
      <c r="W3" s="2"/>
      <c r="X3" s="3"/>
      <c r="Y3" s="4"/>
    </row>
    <row r="4" spans="1:25" s="13" customFormat="1" ht="22.5">
      <c r="A4" s="7"/>
      <c r="B4" s="8" t="s">
        <v>2</v>
      </c>
      <c r="C4" s="8" t="s">
        <v>43</v>
      </c>
      <c r="D4" s="8" t="s">
        <v>44</v>
      </c>
      <c r="E4" s="8" t="s">
        <v>5</v>
      </c>
      <c r="F4" s="9" t="s">
        <v>2</v>
      </c>
      <c r="G4" s="8" t="s">
        <v>43</v>
      </c>
      <c r="H4" s="8" t="s">
        <v>44</v>
      </c>
      <c r="I4" s="8" t="s">
        <v>5</v>
      </c>
      <c r="J4" s="9" t="s">
        <v>2</v>
      </c>
      <c r="K4" s="8" t="s">
        <v>43</v>
      </c>
      <c r="L4" s="8" t="s">
        <v>44</v>
      </c>
      <c r="M4" s="8" t="s">
        <v>5</v>
      </c>
      <c r="N4" s="9" t="s">
        <v>2</v>
      </c>
      <c r="O4" s="8" t="s">
        <v>43</v>
      </c>
      <c r="P4" s="8" t="s">
        <v>44</v>
      </c>
      <c r="Q4" s="12" t="s">
        <v>5</v>
      </c>
      <c r="R4" s="9" t="s">
        <v>2</v>
      </c>
      <c r="S4" s="8" t="s">
        <v>43</v>
      </c>
      <c r="T4" s="8" t="s">
        <v>44</v>
      </c>
      <c r="U4" s="8" t="s">
        <v>5</v>
      </c>
      <c r="V4" s="9" t="s">
        <v>2</v>
      </c>
      <c r="W4" s="8" t="s">
        <v>43</v>
      </c>
      <c r="X4" s="8" t="s">
        <v>44</v>
      </c>
      <c r="Y4" s="8" t="s">
        <v>5</v>
      </c>
    </row>
    <row r="5" spans="1:25" s="13" customFormat="1" ht="11.25">
      <c r="A5" s="14" t="s">
        <v>45</v>
      </c>
      <c r="B5" s="15">
        <v>1410</v>
      </c>
      <c r="C5" s="15">
        <f>24+34</f>
        <v>58</v>
      </c>
      <c r="D5" s="15">
        <f>24+46</f>
        <v>70</v>
      </c>
      <c r="E5" s="16">
        <f aca="true" t="shared" si="0" ref="E5:E11">C5-D5</f>
        <v>-12</v>
      </c>
      <c r="F5" s="15">
        <v>9</v>
      </c>
      <c r="G5" s="15">
        <v>1</v>
      </c>
      <c r="H5" s="15">
        <v>1</v>
      </c>
      <c r="I5" s="16">
        <f aca="true" t="shared" si="1" ref="I5:I11">G5-H5</f>
        <v>0</v>
      </c>
      <c r="J5" s="15">
        <v>777</v>
      </c>
      <c r="K5" s="15">
        <f>26+27</f>
        <v>53</v>
      </c>
      <c r="L5" s="15">
        <f>12+26</f>
        <v>38</v>
      </c>
      <c r="M5" s="16">
        <f aca="true" t="shared" si="2" ref="M5:M11">K5-L5</f>
        <v>15</v>
      </c>
      <c r="N5" s="15">
        <v>4733</v>
      </c>
      <c r="O5" s="15">
        <f>242+194</f>
        <v>436</v>
      </c>
      <c r="P5" s="15">
        <f>142+156</f>
        <v>298</v>
      </c>
      <c r="Q5" s="16">
        <f aca="true" t="shared" si="3" ref="Q5:Q11">O5-P5</f>
        <v>138</v>
      </c>
      <c r="R5" s="15">
        <v>9982</v>
      </c>
      <c r="S5" s="15">
        <f>388+274</f>
        <v>662</v>
      </c>
      <c r="T5" s="15">
        <f>320+349</f>
        <v>669</v>
      </c>
      <c r="U5" s="16">
        <f aca="true" t="shared" si="4" ref="U5:U11">S5-T5</f>
        <v>-7</v>
      </c>
      <c r="V5" s="15">
        <v>5821</v>
      </c>
      <c r="W5" s="15">
        <f>357+234</f>
        <v>591</v>
      </c>
      <c r="X5" s="15">
        <f>234+218</f>
        <v>452</v>
      </c>
      <c r="Y5" s="16">
        <f aca="true" t="shared" si="5" ref="Y5:Y10">W5-X5</f>
        <v>139</v>
      </c>
    </row>
    <row r="6" spans="1:25" s="13" customFormat="1" ht="11.25">
      <c r="A6" s="14" t="s">
        <v>46</v>
      </c>
      <c r="B6" s="15">
        <v>1315</v>
      </c>
      <c r="C6" s="15">
        <f>23+14</f>
        <v>37</v>
      </c>
      <c r="D6" s="15">
        <f>23+54</f>
        <v>77</v>
      </c>
      <c r="E6" s="16">
        <f t="shared" si="0"/>
        <v>-40</v>
      </c>
      <c r="F6" s="15">
        <v>10</v>
      </c>
      <c r="G6" s="15">
        <v>0</v>
      </c>
      <c r="H6" s="15">
        <v>0</v>
      </c>
      <c r="I6" s="16">
        <f t="shared" si="1"/>
        <v>0</v>
      </c>
      <c r="J6" s="15">
        <v>758</v>
      </c>
      <c r="K6" s="15">
        <f>34+16</f>
        <v>50</v>
      </c>
      <c r="L6" s="15">
        <f>19+13</f>
        <v>32</v>
      </c>
      <c r="M6" s="16">
        <f t="shared" si="2"/>
        <v>18</v>
      </c>
      <c r="N6" s="15">
        <v>4846</v>
      </c>
      <c r="O6" s="15">
        <f>306+219</f>
        <v>525</v>
      </c>
      <c r="P6" s="15">
        <f>112+161</f>
        <v>273</v>
      </c>
      <c r="Q6" s="16">
        <f t="shared" si="3"/>
        <v>252</v>
      </c>
      <c r="R6" s="15">
        <v>9786</v>
      </c>
      <c r="S6" s="15">
        <f>407+278</f>
        <v>685</v>
      </c>
      <c r="T6" s="15">
        <f>205+291</f>
        <v>496</v>
      </c>
      <c r="U6" s="16">
        <f t="shared" si="4"/>
        <v>189</v>
      </c>
      <c r="V6" s="15">
        <v>5836</v>
      </c>
      <c r="W6" s="15">
        <f>328+217</f>
        <v>545</v>
      </c>
      <c r="X6" s="15">
        <f>150+200</f>
        <v>350</v>
      </c>
      <c r="Y6" s="16">
        <f t="shared" si="5"/>
        <v>195</v>
      </c>
    </row>
    <row r="7" spans="1:25" s="13" customFormat="1" ht="11.25">
      <c r="A7" s="14" t="s">
        <v>47</v>
      </c>
      <c r="B7" s="15">
        <v>1244</v>
      </c>
      <c r="C7" s="15">
        <v>30</v>
      </c>
      <c r="D7" s="15">
        <f>24+47</f>
        <v>71</v>
      </c>
      <c r="E7" s="16">
        <f t="shared" si="0"/>
        <v>-41</v>
      </c>
      <c r="F7" s="15">
        <v>10</v>
      </c>
      <c r="G7" s="15">
        <v>1</v>
      </c>
      <c r="H7" s="15">
        <v>0</v>
      </c>
      <c r="I7" s="16">
        <f t="shared" si="1"/>
        <v>1</v>
      </c>
      <c r="J7" s="15">
        <v>760</v>
      </c>
      <c r="K7" s="15">
        <f>19+28</f>
        <v>47</v>
      </c>
      <c r="L7" s="15">
        <f>18+13</f>
        <v>31</v>
      </c>
      <c r="M7" s="16">
        <f t="shared" si="2"/>
        <v>16</v>
      </c>
      <c r="N7" s="15">
        <v>4819</v>
      </c>
      <c r="O7" s="15">
        <f>150+221</f>
        <v>371</v>
      </c>
      <c r="P7" s="15">
        <f>141+93</f>
        <v>234</v>
      </c>
      <c r="Q7" s="16">
        <f t="shared" si="3"/>
        <v>137</v>
      </c>
      <c r="R7" s="15">
        <v>9528</v>
      </c>
      <c r="S7" s="15">
        <f>384+247</f>
        <v>631</v>
      </c>
      <c r="T7" s="15">
        <f>168+258</f>
        <v>426</v>
      </c>
      <c r="U7" s="16">
        <f t="shared" si="4"/>
        <v>205</v>
      </c>
      <c r="V7" s="15">
        <v>5881</v>
      </c>
      <c r="W7" s="15">
        <f>404+219</f>
        <v>623</v>
      </c>
      <c r="X7" s="15">
        <f>125+197</f>
        <v>322</v>
      </c>
      <c r="Y7" s="16">
        <f t="shared" si="5"/>
        <v>301</v>
      </c>
    </row>
    <row r="8" spans="1:25" s="5" customFormat="1" ht="11.25">
      <c r="A8" s="14" t="s">
        <v>48</v>
      </c>
      <c r="B8" s="16">
        <v>1215</v>
      </c>
      <c r="C8" s="16">
        <v>49</v>
      </c>
      <c r="D8" s="16">
        <v>83</v>
      </c>
      <c r="E8" s="16">
        <f t="shared" si="0"/>
        <v>-34</v>
      </c>
      <c r="F8" s="16">
        <v>10</v>
      </c>
      <c r="G8" s="16">
        <v>2</v>
      </c>
      <c r="H8" s="16">
        <v>0</v>
      </c>
      <c r="I8" s="16">
        <f t="shared" si="1"/>
        <v>2</v>
      </c>
      <c r="J8" s="16">
        <v>748</v>
      </c>
      <c r="K8" s="16">
        <v>52</v>
      </c>
      <c r="L8" s="16">
        <v>42</v>
      </c>
      <c r="M8" s="16">
        <f t="shared" si="2"/>
        <v>10</v>
      </c>
      <c r="N8" s="16">
        <v>4763</v>
      </c>
      <c r="O8" s="16">
        <v>342</v>
      </c>
      <c r="P8" s="16">
        <v>344</v>
      </c>
      <c r="Q8" s="16">
        <f t="shared" si="3"/>
        <v>-2</v>
      </c>
      <c r="R8" s="16">
        <v>9242</v>
      </c>
      <c r="S8" s="16">
        <v>565</v>
      </c>
      <c r="T8" s="16">
        <v>770</v>
      </c>
      <c r="U8" s="16">
        <f t="shared" si="4"/>
        <v>-205</v>
      </c>
      <c r="V8" s="16">
        <v>5984</v>
      </c>
      <c r="W8" s="16">
        <v>659</v>
      </c>
      <c r="X8" s="16">
        <v>547</v>
      </c>
      <c r="Y8" s="16">
        <f t="shared" si="5"/>
        <v>112</v>
      </c>
    </row>
    <row r="9" spans="1:25" s="5" customFormat="1" ht="11.25">
      <c r="A9" s="14" t="s">
        <v>49</v>
      </c>
      <c r="B9" s="16">
        <v>1144</v>
      </c>
      <c r="C9" s="16">
        <v>52</v>
      </c>
      <c r="D9" s="16">
        <v>120</v>
      </c>
      <c r="E9" s="16">
        <f t="shared" si="0"/>
        <v>-68</v>
      </c>
      <c r="F9" s="16">
        <v>10</v>
      </c>
      <c r="G9" s="16">
        <v>1</v>
      </c>
      <c r="H9" s="16">
        <v>0</v>
      </c>
      <c r="I9" s="16">
        <f t="shared" si="1"/>
        <v>1</v>
      </c>
      <c r="J9" s="16">
        <v>747</v>
      </c>
      <c r="K9" s="16">
        <v>51</v>
      </c>
      <c r="L9" s="16">
        <v>67</v>
      </c>
      <c r="M9" s="16">
        <f t="shared" si="2"/>
        <v>-16</v>
      </c>
      <c r="N9" s="16">
        <v>4708</v>
      </c>
      <c r="O9" s="16">
        <v>358</v>
      </c>
      <c r="P9" s="16">
        <v>426</v>
      </c>
      <c r="Q9" s="16">
        <f t="shared" si="3"/>
        <v>-68</v>
      </c>
      <c r="R9" s="16">
        <v>8923</v>
      </c>
      <c r="S9" s="16">
        <v>676</v>
      </c>
      <c r="T9" s="16">
        <v>909</v>
      </c>
      <c r="U9" s="16">
        <f t="shared" si="4"/>
        <v>-233</v>
      </c>
      <c r="V9" s="16">
        <v>6121</v>
      </c>
      <c r="W9" s="16">
        <v>796</v>
      </c>
      <c r="X9" s="16">
        <v>656</v>
      </c>
      <c r="Y9" s="16">
        <f t="shared" si="5"/>
        <v>140</v>
      </c>
    </row>
    <row r="10" spans="1:25" s="5" customFormat="1" ht="11.25">
      <c r="A10" s="14" t="s">
        <v>50</v>
      </c>
      <c r="B10" s="16">
        <v>1106</v>
      </c>
      <c r="C10" s="16">
        <v>95</v>
      </c>
      <c r="D10" s="16">
        <v>132</v>
      </c>
      <c r="E10" s="16">
        <f t="shared" si="0"/>
        <v>-37</v>
      </c>
      <c r="F10" s="16">
        <v>10</v>
      </c>
      <c r="G10" s="16">
        <v>2</v>
      </c>
      <c r="H10" s="16">
        <v>1</v>
      </c>
      <c r="I10" s="16">
        <f t="shared" si="1"/>
        <v>1</v>
      </c>
      <c r="J10" s="16">
        <v>737</v>
      </c>
      <c r="K10" s="16">
        <v>60</v>
      </c>
      <c r="L10" s="16">
        <v>61</v>
      </c>
      <c r="M10" s="16">
        <f t="shared" si="2"/>
        <v>-1</v>
      </c>
      <c r="N10" s="16">
        <v>4523</v>
      </c>
      <c r="O10" s="16">
        <v>312</v>
      </c>
      <c r="P10" s="16">
        <v>490</v>
      </c>
      <c r="Q10" s="16">
        <f t="shared" si="3"/>
        <v>-178</v>
      </c>
      <c r="R10" s="16">
        <v>8410</v>
      </c>
      <c r="S10" s="16">
        <v>587</v>
      </c>
      <c r="T10" s="16">
        <v>1037</v>
      </c>
      <c r="U10" s="16">
        <f t="shared" si="4"/>
        <v>-450</v>
      </c>
      <c r="V10" s="16">
        <v>5890</v>
      </c>
      <c r="W10" s="16">
        <v>516</v>
      </c>
      <c r="X10" s="16">
        <v>735</v>
      </c>
      <c r="Y10" s="16">
        <f t="shared" si="5"/>
        <v>-219</v>
      </c>
    </row>
    <row r="11" spans="1:25" s="5" customFormat="1" ht="11.25">
      <c r="A11" s="14" t="s">
        <v>51</v>
      </c>
      <c r="B11" s="16">
        <f>B16</f>
        <v>1063</v>
      </c>
      <c r="C11" s="16">
        <f>SUM(C13:C16)</f>
        <v>79</v>
      </c>
      <c r="D11" s="16">
        <f>SUM(D13:D16)</f>
        <v>101</v>
      </c>
      <c r="E11" s="16">
        <f t="shared" si="0"/>
        <v>-22</v>
      </c>
      <c r="F11" s="16">
        <f>F16</f>
        <v>12</v>
      </c>
      <c r="G11" s="16">
        <f>SUM(G13:G16)</f>
        <v>1</v>
      </c>
      <c r="H11" s="16">
        <f>SUM(H13:H16)</f>
        <v>1</v>
      </c>
      <c r="I11" s="16">
        <f t="shared" si="1"/>
        <v>0</v>
      </c>
      <c r="J11" s="16">
        <f>J16</f>
        <v>736</v>
      </c>
      <c r="K11" s="16">
        <f>SUM(K13:K16)</f>
        <v>56</v>
      </c>
      <c r="L11" s="16">
        <f>SUM(L13:L16)</f>
        <v>50</v>
      </c>
      <c r="M11" s="16">
        <f t="shared" si="2"/>
        <v>6</v>
      </c>
      <c r="N11" s="16">
        <f>N16</f>
        <v>4505</v>
      </c>
      <c r="O11" s="16">
        <f>SUM(O13:O16)</f>
        <v>294</v>
      </c>
      <c r="P11" s="16">
        <f>SUM(P13:P16)</f>
        <v>258</v>
      </c>
      <c r="Q11" s="16">
        <f t="shared" si="3"/>
        <v>36</v>
      </c>
      <c r="R11" s="16">
        <f>R16</f>
        <v>8192</v>
      </c>
      <c r="S11" s="16">
        <f>SUM(S13:S16)</f>
        <v>517</v>
      </c>
      <c r="T11" s="16">
        <f>SUM(T13:T16)</f>
        <v>640</v>
      </c>
      <c r="U11" s="16">
        <f t="shared" si="4"/>
        <v>-123</v>
      </c>
      <c r="V11" s="16">
        <f>V16</f>
        <v>5936</v>
      </c>
      <c r="W11" s="16">
        <f>SUM(W13:W16)</f>
        <v>626</v>
      </c>
      <c r="X11" s="16">
        <f>SUM(X13:X16)</f>
        <v>480</v>
      </c>
      <c r="Y11" s="16">
        <f>W11-X11</f>
        <v>146</v>
      </c>
    </row>
    <row r="12" spans="1:25" s="5" customFormat="1" ht="11.25">
      <c r="A12" s="17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s="5" customFormat="1" ht="11.25">
      <c r="A13" s="17" t="s">
        <v>52</v>
      </c>
      <c r="B13" s="16">
        <v>1065</v>
      </c>
      <c r="C13" s="16">
        <v>20</v>
      </c>
      <c r="D13" s="16">
        <v>57</v>
      </c>
      <c r="E13" s="16">
        <f>C13-D13</f>
        <v>-37</v>
      </c>
      <c r="F13" s="16">
        <v>10</v>
      </c>
      <c r="G13" s="16">
        <v>1</v>
      </c>
      <c r="H13" s="16">
        <v>1</v>
      </c>
      <c r="I13" s="16">
        <f>G13-H13</f>
        <v>0</v>
      </c>
      <c r="J13" s="16">
        <v>730</v>
      </c>
      <c r="K13" s="16">
        <v>10</v>
      </c>
      <c r="L13" s="16">
        <v>26</v>
      </c>
      <c r="M13" s="16">
        <f>K13-L13</f>
        <v>-16</v>
      </c>
      <c r="N13" s="16">
        <v>4477</v>
      </c>
      <c r="O13" s="16">
        <v>71</v>
      </c>
      <c r="P13" s="16">
        <v>118</v>
      </c>
      <c r="Q13" s="16">
        <f>O13-P13</f>
        <v>-47</v>
      </c>
      <c r="R13" s="16">
        <v>8206</v>
      </c>
      <c r="S13" s="16">
        <v>155</v>
      </c>
      <c r="T13" s="16">
        <v>340</v>
      </c>
      <c r="U13" s="16">
        <f>S13-T13</f>
        <v>-185</v>
      </c>
      <c r="V13" s="16">
        <v>5772</v>
      </c>
      <c r="W13" s="16">
        <v>174</v>
      </c>
      <c r="X13" s="16">
        <v>261</v>
      </c>
      <c r="Y13" s="16">
        <f>W13-X13</f>
        <v>-87</v>
      </c>
    </row>
    <row r="14" spans="1:25" s="5" customFormat="1" ht="11.25">
      <c r="A14" s="17" t="s">
        <v>15</v>
      </c>
      <c r="B14" s="16">
        <v>1069</v>
      </c>
      <c r="C14" s="16">
        <v>25</v>
      </c>
      <c r="D14" s="16">
        <v>16</v>
      </c>
      <c r="E14" s="16">
        <f>C14-D14</f>
        <v>9</v>
      </c>
      <c r="F14" s="16">
        <v>11</v>
      </c>
      <c r="G14" s="16">
        <v>0</v>
      </c>
      <c r="H14" s="16">
        <v>0</v>
      </c>
      <c r="I14" s="16">
        <f>G14-H14</f>
        <v>0</v>
      </c>
      <c r="J14" s="16">
        <v>735</v>
      </c>
      <c r="K14" s="16">
        <v>17</v>
      </c>
      <c r="L14" s="16">
        <v>7</v>
      </c>
      <c r="M14" s="16">
        <f>K14-L14</f>
        <v>10</v>
      </c>
      <c r="N14" s="16">
        <v>4497</v>
      </c>
      <c r="O14" s="16">
        <v>99</v>
      </c>
      <c r="P14" s="16">
        <v>58</v>
      </c>
      <c r="Q14" s="16">
        <f>O14-P14</f>
        <v>41</v>
      </c>
      <c r="R14" s="16">
        <v>8224</v>
      </c>
      <c r="S14" s="16">
        <v>163</v>
      </c>
      <c r="T14" s="16">
        <v>106</v>
      </c>
      <c r="U14" s="16">
        <f>S14-T14</f>
        <v>57</v>
      </c>
      <c r="V14" s="16">
        <v>5862</v>
      </c>
      <c r="W14" s="16">
        <v>202</v>
      </c>
      <c r="X14" s="16">
        <v>82</v>
      </c>
      <c r="Y14" s="16">
        <f>W14-X14</f>
        <v>120</v>
      </c>
    </row>
    <row r="15" spans="1:25" s="5" customFormat="1" ht="11.25">
      <c r="A15" s="17" t="s">
        <v>16</v>
      </c>
      <c r="B15" s="16">
        <v>1068</v>
      </c>
      <c r="C15" s="16">
        <v>9</v>
      </c>
      <c r="D15" s="16">
        <v>9</v>
      </c>
      <c r="E15" s="16">
        <f>C15-D15</f>
        <v>0</v>
      </c>
      <c r="F15" s="16">
        <v>11</v>
      </c>
      <c r="G15" s="16">
        <v>0</v>
      </c>
      <c r="H15" s="16">
        <v>0</v>
      </c>
      <c r="I15" s="16">
        <f>G15-H15</f>
        <v>0</v>
      </c>
      <c r="J15" s="16">
        <v>742</v>
      </c>
      <c r="K15" s="16">
        <v>16</v>
      </c>
      <c r="L15" s="16">
        <v>4</v>
      </c>
      <c r="M15" s="16">
        <f>K15-L15</f>
        <v>12</v>
      </c>
      <c r="N15" s="16">
        <v>4506</v>
      </c>
      <c r="O15" s="16">
        <v>53</v>
      </c>
      <c r="P15" s="16">
        <v>35</v>
      </c>
      <c r="Q15" s="16">
        <f>O15-P15</f>
        <v>18</v>
      </c>
      <c r="R15" s="16">
        <v>8208</v>
      </c>
      <c r="S15" s="16">
        <v>88</v>
      </c>
      <c r="T15" s="16">
        <v>92</v>
      </c>
      <c r="U15" s="16">
        <f>S15-T15</f>
        <v>-4</v>
      </c>
      <c r="V15" s="16">
        <v>5896</v>
      </c>
      <c r="W15" s="16">
        <v>115</v>
      </c>
      <c r="X15" s="16">
        <v>70</v>
      </c>
      <c r="Y15" s="16">
        <f>W15-X15</f>
        <v>45</v>
      </c>
    </row>
    <row r="16" spans="1:25" s="5" customFormat="1" ht="11.25">
      <c r="A16" s="17" t="s">
        <v>17</v>
      </c>
      <c r="B16" s="16">
        <v>1063</v>
      </c>
      <c r="C16" s="16">
        <v>25</v>
      </c>
      <c r="D16" s="16">
        <v>19</v>
      </c>
      <c r="E16" s="16">
        <f>C16-D16</f>
        <v>6</v>
      </c>
      <c r="F16" s="16">
        <v>12</v>
      </c>
      <c r="G16" s="16">
        <v>0</v>
      </c>
      <c r="H16" s="16">
        <v>0</v>
      </c>
      <c r="I16" s="16">
        <f>G16-H16</f>
        <v>0</v>
      </c>
      <c r="J16" s="16">
        <v>736</v>
      </c>
      <c r="K16" s="16">
        <v>13</v>
      </c>
      <c r="L16" s="16">
        <v>13</v>
      </c>
      <c r="M16" s="16">
        <f>K16-L16</f>
        <v>0</v>
      </c>
      <c r="N16" s="16">
        <v>4505</v>
      </c>
      <c r="O16" s="16">
        <v>71</v>
      </c>
      <c r="P16" s="16">
        <v>47</v>
      </c>
      <c r="Q16" s="16">
        <f>O16-P16</f>
        <v>24</v>
      </c>
      <c r="R16" s="16">
        <v>8192</v>
      </c>
      <c r="S16" s="16">
        <v>111</v>
      </c>
      <c r="T16" s="16">
        <v>102</v>
      </c>
      <c r="U16" s="16">
        <f>S16-T16</f>
        <v>9</v>
      </c>
      <c r="V16" s="16">
        <v>5936</v>
      </c>
      <c r="W16" s="16">
        <v>135</v>
      </c>
      <c r="X16" s="16">
        <v>67</v>
      </c>
      <c r="Y16" s="16">
        <f>W16-X16</f>
        <v>68</v>
      </c>
    </row>
    <row r="17" spans="1:17" s="5" customFormat="1" ht="11.25">
      <c r="A17" s="17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25" s="5" customFormat="1" ht="11.25">
      <c r="A18" s="1" t="s">
        <v>0</v>
      </c>
      <c r="B18" s="2" t="s">
        <v>53</v>
      </c>
      <c r="C18" s="2"/>
      <c r="D18" s="3"/>
      <c r="E18" s="4"/>
      <c r="F18" s="2" t="s">
        <v>54</v>
      </c>
      <c r="G18" s="2"/>
      <c r="H18" s="3"/>
      <c r="I18" s="4"/>
      <c r="J18" s="2" t="s">
        <v>55</v>
      </c>
      <c r="K18" s="2"/>
      <c r="L18" s="3"/>
      <c r="M18" s="4"/>
      <c r="N18" s="2" t="s">
        <v>56</v>
      </c>
      <c r="O18" s="2"/>
      <c r="P18" s="3"/>
      <c r="Q18" s="4"/>
      <c r="R18" s="2" t="s">
        <v>57</v>
      </c>
      <c r="S18" s="2"/>
      <c r="T18" s="3"/>
      <c r="U18" s="4"/>
      <c r="V18" s="2" t="s">
        <v>1</v>
      </c>
      <c r="W18" s="2"/>
      <c r="X18" s="3"/>
      <c r="Y18" s="4"/>
    </row>
    <row r="19" spans="1:25" s="5" customFormat="1" ht="22.5">
      <c r="A19" s="7"/>
      <c r="B19" s="9" t="s">
        <v>2</v>
      </c>
      <c r="C19" s="8" t="s">
        <v>43</v>
      </c>
      <c r="D19" s="8" t="s">
        <v>44</v>
      </c>
      <c r="E19" s="8" t="s">
        <v>5</v>
      </c>
      <c r="F19" s="9" t="s">
        <v>2</v>
      </c>
      <c r="G19" s="8" t="s">
        <v>43</v>
      </c>
      <c r="H19" s="8" t="s">
        <v>44</v>
      </c>
      <c r="I19" s="12" t="s">
        <v>5</v>
      </c>
      <c r="J19" s="9" t="s">
        <v>2</v>
      </c>
      <c r="K19" s="8" t="s">
        <v>43</v>
      </c>
      <c r="L19" s="8" t="s">
        <v>44</v>
      </c>
      <c r="M19" s="8" t="s">
        <v>5</v>
      </c>
      <c r="N19" s="10" t="s">
        <v>2</v>
      </c>
      <c r="O19" s="11" t="s">
        <v>43</v>
      </c>
      <c r="P19" s="11" t="s">
        <v>44</v>
      </c>
      <c r="Q19" s="11" t="s">
        <v>5</v>
      </c>
      <c r="R19" s="9" t="s">
        <v>2</v>
      </c>
      <c r="S19" s="8" t="s">
        <v>43</v>
      </c>
      <c r="T19" s="8" t="s">
        <v>44</v>
      </c>
      <c r="U19" s="8" t="s">
        <v>5</v>
      </c>
      <c r="V19" s="9" t="s">
        <v>2</v>
      </c>
      <c r="W19" s="8" t="s">
        <v>43</v>
      </c>
      <c r="X19" s="8" t="s">
        <v>44</v>
      </c>
      <c r="Y19" s="12" t="s">
        <v>5</v>
      </c>
    </row>
    <row r="20" spans="1:25" s="5" customFormat="1" ht="11.25">
      <c r="A20" s="14" t="s">
        <v>45</v>
      </c>
      <c r="B20" s="15">
        <v>17740</v>
      </c>
      <c r="C20" s="15">
        <f>684+597</f>
        <v>1281</v>
      </c>
      <c r="D20" s="15">
        <f>425+683</f>
        <v>1108</v>
      </c>
      <c r="E20" s="16">
        <f aca="true" t="shared" si="6" ref="E20:E26">C20-D20</f>
        <v>173</v>
      </c>
      <c r="F20" s="15">
        <v>3272</v>
      </c>
      <c r="G20" s="15">
        <f>87+82</f>
        <v>169</v>
      </c>
      <c r="H20" s="15">
        <f>107+90</f>
        <v>197</v>
      </c>
      <c r="I20" s="16">
        <f aca="true" t="shared" si="7" ref="I20:I25">G20-H20</f>
        <v>-28</v>
      </c>
      <c r="J20" s="15">
        <v>3944</v>
      </c>
      <c r="K20" s="15">
        <f>223+237</f>
        <v>460</v>
      </c>
      <c r="L20" s="15">
        <f>91+150</f>
        <v>241</v>
      </c>
      <c r="M20" s="16">
        <f aca="true" t="shared" si="8" ref="M20:M26">K20-L20</f>
        <v>219</v>
      </c>
      <c r="N20" s="15">
        <v>3178</v>
      </c>
      <c r="O20" s="15">
        <f>137+104</f>
        <v>241</v>
      </c>
      <c r="P20" s="15">
        <f>107+91</f>
        <v>198</v>
      </c>
      <c r="Q20" s="16">
        <f aca="true" t="shared" si="9" ref="Q20:Q25">O20-P20</f>
        <v>43</v>
      </c>
      <c r="R20" s="15">
        <v>184</v>
      </c>
      <c r="S20" s="15">
        <v>423</v>
      </c>
      <c r="T20" s="15">
        <v>9</v>
      </c>
      <c r="U20" s="16">
        <f aca="true" t="shared" si="10" ref="U20:U26">S20-T20</f>
        <v>414</v>
      </c>
      <c r="V20" s="16">
        <f aca="true" t="shared" si="11" ref="V20:Y26">B5+F5+J5+N5+R5+V5+B20+F20+J20+N20+R20</f>
        <v>51050</v>
      </c>
      <c r="W20" s="16">
        <f t="shared" si="11"/>
        <v>4375</v>
      </c>
      <c r="X20" s="16">
        <f t="shared" si="11"/>
        <v>3281</v>
      </c>
      <c r="Y20" s="16">
        <f t="shared" si="11"/>
        <v>1094</v>
      </c>
    </row>
    <row r="21" spans="1:25" s="5" customFormat="1" ht="11.25">
      <c r="A21" s="14" t="s">
        <v>46</v>
      </c>
      <c r="B21" s="15">
        <v>17759</v>
      </c>
      <c r="C21" s="15">
        <f>893+677</f>
        <v>1570</v>
      </c>
      <c r="D21" s="15">
        <f>360+691</f>
        <v>1051</v>
      </c>
      <c r="E21" s="16">
        <f t="shared" si="6"/>
        <v>519</v>
      </c>
      <c r="F21" s="15">
        <v>3243</v>
      </c>
      <c r="G21" s="15">
        <f>87+94</f>
        <v>181</v>
      </c>
      <c r="H21" s="15">
        <f>64+82</f>
        <v>146</v>
      </c>
      <c r="I21" s="16">
        <f t="shared" si="7"/>
        <v>35</v>
      </c>
      <c r="J21" s="15">
        <v>4103</v>
      </c>
      <c r="K21" s="15">
        <f>302+257</f>
        <v>559</v>
      </c>
      <c r="L21" s="15">
        <f>93+172</f>
        <v>265</v>
      </c>
      <c r="M21" s="16">
        <f t="shared" si="8"/>
        <v>294</v>
      </c>
      <c r="N21" s="15">
        <v>3168</v>
      </c>
      <c r="O21" s="15">
        <f>131+92</f>
        <v>223</v>
      </c>
      <c r="P21" s="15">
        <f>58+90</f>
        <v>148</v>
      </c>
      <c r="Q21" s="16">
        <f t="shared" si="9"/>
        <v>75</v>
      </c>
      <c r="R21" s="15">
        <v>161</v>
      </c>
      <c r="S21" s="15">
        <v>5</v>
      </c>
      <c r="T21" s="15">
        <v>9</v>
      </c>
      <c r="U21" s="16">
        <f t="shared" si="10"/>
        <v>-4</v>
      </c>
      <c r="V21" s="16">
        <f t="shared" si="11"/>
        <v>50985</v>
      </c>
      <c r="W21" s="16">
        <f t="shared" si="11"/>
        <v>4380</v>
      </c>
      <c r="X21" s="16">
        <f t="shared" si="11"/>
        <v>2847</v>
      </c>
      <c r="Y21" s="16">
        <f t="shared" si="11"/>
        <v>1533</v>
      </c>
    </row>
    <row r="22" spans="1:25" s="5" customFormat="1" ht="11.25">
      <c r="A22" s="14" t="s">
        <v>47</v>
      </c>
      <c r="B22" s="15">
        <v>17743</v>
      </c>
      <c r="C22" s="15">
        <f>826+668</f>
        <v>1494</v>
      </c>
      <c r="D22" s="15">
        <f>357+599</f>
        <v>956</v>
      </c>
      <c r="E22" s="16">
        <f t="shared" si="6"/>
        <v>538</v>
      </c>
      <c r="F22" s="15">
        <v>3191</v>
      </c>
      <c r="G22" s="15">
        <f>105+67</f>
        <v>172</v>
      </c>
      <c r="H22" s="15">
        <f>63+106</f>
        <v>169</v>
      </c>
      <c r="I22" s="16">
        <f t="shared" si="7"/>
        <v>3</v>
      </c>
      <c r="J22" s="15">
        <v>4243</v>
      </c>
      <c r="K22" s="15">
        <f>330+264</f>
        <v>594</v>
      </c>
      <c r="L22" s="15">
        <f>69+144</f>
        <v>213</v>
      </c>
      <c r="M22" s="16">
        <f t="shared" si="8"/>
        <v>381</v>
      </c>
      <c r="N22" s="15">
        <v>3166</v>
      </c>
      <c r="O22" s="15">
        <f>130+98</f>
        <v>228</v>
      </c>
      <c r="P22" s="15">
        <f>50+78</f>
        <v>128</v>
      </c>
      <c r="Q22" s="16">
        <f t="shared" si="9"/>
        <v>100</v>
      </c>
      <c r="R22" s="15">
        <v>146</v>
      </c>
      <c r="S22" s="15">
        <v>7</v>
      </c>
      <c r="T22" s="15">
        <v>8</v>
      </c>
      <c r="U22" s="16">
        <f t="shared" si="10"/>
        <v>-1</v>
      </c>
      <c r="V22" s="16">
        <f t="shared" si="11"/>
        <v>50731</v>
      </c>
      <c r="W22" s="16">
        <f t="shared" si="11"/>
        <v>4198</v>
      </c>
      <c r="X22" s="16">
        <f t="shared" si="11"/>
        <v>2558</v>
      </c>
      <c r="Y22" s="16">
        <f t="shared" si="11"/>
        <v>1640</v>
      </c>
    </row>
    <row r="23" spans="1:25" s="5" customFormat="1" ht="11.25">
      <c r="A23" s="14" t="s">
        <v>48</v>
      </c>
      <c r="B23" s="16">
        <v>17619</v>
      </c>
      <c r="C23" s="16">
        <v>1567</v>
      </c>
      <c r="D23" s="16">
        <v>1642</v>
      </c>
      <c r="E23" s="16">
        <f t="shared" si="6"/>
        <v>-75</v>
      </c>
      <c r="F23" s="16">
        <v>3149</v>
      </c>
      <c r="G23" s="16">
        <v>193</v>
      </c>
      <c r="H23" s="16">
        <v>230</v>
      </c>
      <c r="I23" s="16">
        <f t="shared" si="7"/>
        <v>-37</v>
      </c>
      <c r="J23" s="16">
        <v>4481</v>
      </c>
      <c r="K23" s="16">
        <v>649</v>
      </c>
      <c r="L23" s="16">
        <v>376</v>
      </c>
      <c r="M23" s="16">
        <f t="shared" si="8"/>
        <v>273</v>
      </c>
      <c r="N23" s="16">
        <v>3204</v>
      </c>
      <c r="O23" s="16">
        <v>242</v>
      </c>
      <c r="P23" s="16">
        <v>220</v>
      </c>
      <c r="Q23" s="16">
        <f t="shared" si="9"/>
        <v>22</v>
      </c>
      <c r="R23" s="16">
        <v>67</v>
      </c>
      <c r="S23" s="16">
        <v>3</v>
      </c>
      <c r="T23" s="16">
        <v>11</v>
      </c>
      <c r="U23" s="16">
        <f t="shared" si="10"/>
        <v>-8</v>
      </c>
      <c r="V23" s="16">
        <f t="shared" si="11"/>
        <v>50482</v>
      </c>
      <c r="W23" s="16">
        <f t="shared" si="11"/>
        <v>4323</v>
      </c>
      <c r="X23" s="16">
        <f t="shared" si="11"/>
        <v>4265</v>
      </c>
      <c r="Y23" s="16">
        <f t="shared" si="11"/>
        <v>58</v>
      </c>
    </row>
    <row r="24" spans="1:25" s="5" customFormat="1" ht="11.25">
      <c r="A24" s="14" t="s">
        <v>49</v>
      </c>
      <c r="B24" s="16">
        <v>17279</v>
      </c>
      <c r="C24" s="16">
        <v>1786</v>
      </c>
      <c r="D24" s="16">
        <v>1926</v>
      </c>
      <c r="E24" s="16">
        <f t="shared" si="6"/>
        <v>-140</v>
      </c>
      <c r="F24" s="16">
        <v>3083</v>
      </c>
      <c r="G24" s="16">
        <v>183</v>
      </c>
      <c r="H24" s="16">
        <v>246</v>
      </c>
      <c r="I24" s="16">
        <f t="shared" si="7"/>
        <v>-63</v>
      </c>
      <c r="J24" s="16">
        <v>4805</v>
      </c>
      <c r="K24" s="16">
        <v>624</v>
      </c>
      <c r="L24" s="16">
        <v>445</v>
      </c>
      <c r="M24" s="16">
        <f t="shared" si="8"/>
        <v>179</v>
      </c>
      <c r="N24" s="16">
        <v>3240</v>
      </c>
      <c r="O24" s="16">
        <v>309</v>
      </c>
      <c r="P24" s="16">
        <v>256</v>
      </c>
      <c r="Q24" s="16">
        <f t="shared" si="9"/>
        <v>53</v>
      </c>
      <c r="R24" s="16">
        <v>2</v>
      </c>
      <c r="S24" s="16">
        <v>3</v>
      </c>
      <c r="T24" s="16">
        <v>10</v>
      </c>
      <c r="U24" s="16">
        <f t="shared" si="10"/>
        <v>-7</v>
      </c>
      <c r="V24" s="16">
        <f t="shared" si="11"/>
        <v>50062</v>
      </c>
      <c r="W24" s="16">
        <f t="shared" si="11"/>
        <v>4839</v>
      </c>
      <c r="X24" s="16">
        <f t="shared" si="11"/>
        <v>5061</v>
      </c>
      <c r="Y24" s="16">
        <f t="shared" si="11"/>
        <v>-222</v>
      </c>
    </row>
    <row r="25" spans="1:25" s="5" customFormat="1" ht="11.25">
      <c r="A25" s="14" t="s">
        <v>50</v>
      </c>
      <c r="B25" s="16">
        <v>16767</v>
      </c>
      <c r="C25" s="16">
        <v>1481</v>
      </c>
      <c r="D25" s="16">
        <v>1969</v>
      </c>
      <c r="E25" s="16">
        <f t="shared" si="6"/>
        <v>-488</v>
      </c>
      <c r="F25" s="16">
        <v>2990</v>
      </c>
      <c r="G25" s="16">
        <v>214</v>
      </c>
      <c r="H25" s="16">
        <v>332</v>
      </c>
      <c r="I25" s="16">
        <f t="shared" si="7"/>
        <v>-118</v>
      </c>
      <c r="J25" s="16">
        <v>4868</v>
      </c>
      <c r="K25" s="16">
        <v>523</v>
      </c>
      <c r="L25" s="16">
        <v>480</v>
      </c>
      <c r="M25" s="16">
        <f t="shared" si="8"/>
        <v>43</v>
      </c>
      <c r="N25" s="16">
        <v>3197</v>
      </c>
      <c r="O25" s="16">
        <v>275</v>
      </c>
      <c r="P25" s="16">
        <v>311</v>
      </c>
      <c r="Q25" s="16">
        <f t="shared" si="9"/>
        <v>-36</v>
      </c>
      <c r="R25" s="16">
        <v>169</v>
      </c>
      <c r="S25" s="16">
        <v>141</v>
      </c>
      <c r="T25" s="16">
        <v>23</v>
      </c>
      <c r="U25" s="16">
        <f t="shared" si="10"/>
        <v>118</v>
      </c>
      <c r="V25" s="16">
        <f t="shared" si="11"/>
        <v>48667</v>
      </c>
      <c r="W25" s="16">
        <f t="shared" si="11"/>
        <v>4206</v>
      </c>
      <c r="X25" s="16">
        <f t="shared" si="11"/>
        <v>5571</v>
      </c>
      <c r="Y25" s="16">
        <f t="shared" si="11"/>
        <v>-1365</v>
      </c>
    </row>
    <row r="26" spans="1:25" s="5" customFormat="1" ht="11.25">
      <c r="A26" s="14" t="s">
        <v>51</v>
      </c>
      <c r="B26" s="16">
        <f>B31</f>
        <v>16616</v>
      </c>
      <c r="C26" s="16">
        <f>SUM(C28:C31)</f>
        <v>1313</v>
      </c>
      <c r="D26" s="16">
        <f>SUM(D28:D31)</f>
        <v>1337</v>
      </c>
      <c r="E26" s="16">
        <f t="shared" si="6"/>
        <v>-24</v>
      </c>
      <c r="F26" s="16">
        <f>F31</f>
        <v>2930</v>
      </c>
      <c r="G26" s="16">
        <f>SUM(G28:G31)</f>
        <v>197</v>
      </c>
      <c r="H26" s="16">
        <f>SUM(H28:H31)</f>
        <v>255</v>
      </c>
      <c r="I26" s="16">
        <f>G26-H26</f>
        <v>-58</v>
      </c>
      <c r="J26" s="16">
        <f>J31</f>
        <v>5114</v>
      </c>
      <c r="K26" s="16">
        <f>SUM(K28:K31)</f>
        <v>593</v>
      </c>
      <c r="L26" s="16">
        <f>SUM(L28:L31)</f>
        <v>333</v>
      </c>
      <c r="M26" s="16">
        <f t="shared" si="8"/>
        <v>260</v>
      </c>
      <c r="N26" s="16">
        <f>N31</f>
        <v>3208</v>
      </c>
      <c r="O26" s="16">
        <f>SUM(O28:O31)</f>
        <v>238</v>
      </c>
      <c r="P26" s="16">
        <f>SUM(P28:P31)</f>
        <v>214</v>
      </c>
      <c r="Q26" s="16">
        <f>O26-P26</f>
        <v>24</v>
      </c>
      <c r="R26" s="16">
        <f>R31</f>
        <v>374</v>
      </c>
      <c r="S26" s="16">
        <f>SUM(S28:S31)</f>
        <v>153</v>
      </c>
      <c r="T26" s="16">
        <f>SUM(T28:T31)</f>
        <v>38</v>
      </c>
      <c r="U26" s="16">
        <f t="shared" si="10"/>
        <v>115</v>
      </c>
      <c r="V26" s="16">
        <f t="shared" si="11"/>
        <v>48686</v>
      </c>
      <c r="W26" s="16">
        <f t="shared" si="11"/>
        <v>4067</v>
      </c>
      <c r="X26" s="16">
        <f t="shared" si="11"/>
        <v>3707</v>
      </c>
      <c r="Y26" s="16">
        <f t="shared" si="11"/>
        <v>360</v>
      </c>
    </row>
    <row r="27" spans="1:25" s="5" customFormat="1" ht="11.25">
      <c r="A27" s="17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spans="1:25" s="5" customFormat="1" ht="11.25">
      <c r="A28" s="17" t="s">
        <v>52</v>
      </c>
      <c r="B28" s="16">
        <v>16490</v>
      </c>
      <c r="C28" s="16">
        <v>294</v>
      </c>
      <c r="D28" s="16">
        <v>593</v>
      </c>
      <c r="E28" s="16">
        <f>C28-D28</f>
        <v>-299</v>
      </c>
      <c r="F28" s="16">
        <v>2924</v>
      </c>
      <c r="G28" s="16">
        <v>39</v>
      </c>
      <c r="H28" s="16">
        <v>108</v>
      </c>
      <c r="I28" s="16">
        <f>G28-H28</f>
        <v>-69</v>
      </c>
      <c r="J28" s="16">
        <v>4859</v>
      </c>
      <c r="K28" s="16">
        <v>118</v>
      </c>
      <c r="L28" s="16">
        <v>142</v>
      </c>
      <c r="M28" s="16">
        <f>K28-L28</f>
        <v>-24</v>
      </c>
      <c r="N28" s="16">
        <v>3144</v>
      </c>
      <c r="O28" s="16">
        <v>60</v>
      </c>
      <c r="P28" s="16">
        <v>121</v>
      </c>
      <c r="Q28" s="16">
        <f>O28-P28</f>
        <v>-61</v>
      </c>
      <c r="R28" s="16">
        <v>223</v>
      </c>
      <c r="S28" s="16">
        <v>44</v>
      </c>
      <c r="T28" s="16">
        <v>13</v>
      </c>
      <c r="U28" s="16">
        <f>S28-T28</f>
        <v>31</v>
      </c>
      <c r="V28" s="16">
        <f aca="true" t="shared" si="12" ref="V28:Y31">B13+F13+J13+N13+R13+V13+B28+F28+J28+N28+R28</f>
        <v>47900</v>
      </c>
      <c r="W28" s="16">
        <f t="shared" si="12"/>
        <v>986</v>
      </c>
      <c r="X28" s="16">
        <f t="shared" si="12"/>
        <v>1780</v>
      </c>
      <c r="Y28" s="16">
        <f t="shared" si="12"/>
        <v>-794</v>
      </c>
    </row>
    <row r="29" spans="1:25" s="5" customFormat="1" ht="11.25">
      <c r="A29" s="17" t="s">
        <v>15</v>
      </c>
      <c r="B29" s="16">
        <v>16544</v>
      </c>
      <c r="C29" s="16">
        <v>418</v>
      </c>
      <c r="D29" s="16">
        <v>256</v>
      </c>
      <c r="E29" s="16">
        <f>C29-D29</f>
        <v>162</v>
      </c>
      <c r="F29" s="16">
        <v>2927</v>
      </c>
      <c r="G29" s="16">
        <v>55</v>
      </c>
      <c r="H29" s="16">
        <v>51</v>
      </c>
      <c r="I29" s="16">
        <f>G29-H29</f>
        <v>4</v>
      </c>
      <c r="J29" s="16">
        <v>4972</v>
      </c>
      <c r="K29" s="16">
        <v>190</v>
      </c>
      <c r="L29" s="16">
        <v>61</v>
      </c>
      <c r="M29" s="16">
        <f>K29-L29</f>
        <v>129</v>
      </c>
      <c r="N29" s="16">
        <v>3180</v>
      </c>
      <c r="O29" s="16">
        <v>66</v>
      </c>
      <c r="P29" s="16">
        <v>33</v>
      </c>
      <c r="Q29" s="16">
        <f>O29-P29</f>
        <v>33</v>
      </c>
      <c r="R29" s="16">
        <v>294</v>
      </c>
      <c r="S29" s="16">
        <v>49</v>
      </c>
      <c r="T29" s="16">
        <v>8</v>
      </c>
      <c r="U29" s="16">
        <f>S29-T29</f>
        <v>41</v>
      </c>
      <c r="V29" s="16">
        <f t="shared" si="12"/>
        <v>48315</v>
      </c>
      <c r="W29" s="16">
        <f t="shared" si="12"/>
        <v>1284</v>
      </c>
      <c r="X29" s="16">
        <f t="shared" si="12"/>
        <v>678</v>
      </c>
      <c r="Y29" s="16">
        <f t="shared" si="12"/>
        <v>606</v>
      </c>
    </row>
    <row r="30" spans="1:25" s="5" customFormat="1" ht="11.25">
      <c r="A30" s="17" t="s">
        <v>16</v>
      </c>
      <c r="B30" s="16">
        <v>16577</v>
      </c>
      <c r="C30" s="16">
        <v>242</v>
      </c>
      <c r="D30" s="16">
        <v>196</v>
      </c>
      <c r="E30" s="16">
        <f>C30-D30</f>
        <v>46</v>
      </c>
      <c r="F30" s="16">
        <v>2932</v>
      </c>
      <c r="G30" s="16">
        <v>54</v>
      </c>
      <c r="H30" s="16">
        <v>44</v>
      </c>
      <c r="I30" s="16">
        <f>G30-H30</f>
        <v>10</v>
      </c>
      <c r="J30" s="16">
        <v>5041</v>
      </c>
      <c r="K30" s="16">
        <v>122</v>
      </c>
      <c r="L30" s="16">
        <v>46</v>
      </c>
      <c r="M30" s="16">
        <f>K30-L30</f>
        <v>76</v>
      </c>
      <c r="N30" s="16">
        <v>3190</v>
      </c>
      <c r="O30" s="16">
        <v>40</v>
      </c>
      <c r="P30" s="16">
        <v>20</v>
      </c>
      <c r="Q30" s="16">
        <f>O30-P30</f>
        <v>20</v>
      </c>
      <c r="R30" s="16">
        <v>329</v>
      </c>
      <c r="S30" s="16">
        <v>22</v>
      </c>
      <c r="T30" s="16">
        <v>7</v>
      </c>
      <c r="U30" s="16">
        <f>S30-T30</f>
        <v>15</v>
      </c>
      <c r="V30" s="16">
        <f t="shared" si="12"/>
        <v>48500</v>
      </c>
      <c r="W30" s="16">
        <f t="shared" si="12"/>
        <v>761</v>
      </c>
      <c r="X30" s="16">
        <f t="shared" si="12"/>
        <v>523</v>
      </c>
      <c r="Y30" s="16">
        <f t="shared" si="12"/>
        <v>238</v>
      </c>
    </row>
    <row r="31" spans="1:25" s="5" customFormat="1" ht="11.25">
      <c r="A31" s="17" t="s">
        <v>17</v>
      </c>
      <c r="B31" s="16">
        <v>16616</v>
      </c>
      <c r="C31" s="16">
        <v>359</v>
      </c>
      <c r="D31" s="16">
        <v>292</v>
      </c>
      <c r="E31" s="16">
        <f>C31-D31</f>
        <v>67</v>
      </c>
      <c r="F31" s="16">
        <v>2930</v>
      </c>
      <c r="G31" s="16">
        <v>49</v>
      </c>
      <c r="H31" s="16">
        <v>52</v>
      </c>
      <c r="I31" s="16">
        <f>G31-H31</f>
        <v>-3</v>
      </c>
      <c r="J31" s="16">
        <v>5114</v>
      </c>
      <c r="K31" s="16">
        <v>163</v>
      </c>
      <c r="L31" s="16">
        <v>84</v>
      </c>
      <c r="M31" s="16">
        <f>K31-L31</f>
        <v>79</v>
      </c>
      <c r="N31" s="16">
        <v>3208</v>
      </c>
      <c r="O31" s="16">
        <v>72</v>
      </c>
      <c r="P31" s="16">
        <v>40</v>
      </c>
      <c r="Q31" s="16">
        <f>O31-P31</f>
        <v>32</v>
      </c>
      <c r="R31" s="16">
        <v>374</v>
      </c>
      <c r="S31" s="16">
        <v>38</v>
      </c>
      <c r="T31" s="16">
        <v>10</v>
      </c>
      <c r="U31" s="16">
        <f>S31-T31</f>
        <v>28</v>
      </c>
      <c r="V31" s="16">
        <f t="shared" si="12"/>
        <v>48686</v>
      </c>
      <c r="W31" s="16">
        <f t="shared" si="12"/>
        <v>1036</v>
      </c>
      <c r="X31" s="16">
        <f t="shared" si="12"/>
        <v>726</v>
      </c>
      <c r="Y31" s="16">
        <f t="shared" si="12"/>
        <v>310</v>
      </c>
    </row>
    <row r="32" spans="1:17" s="5" customFormat="1" ht="11.25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4" ht="11.25">
      <c r="A34" s="18" t="s">
        <v>58</v>
      </c>
    </row>
    <row r="35" ht="11.25">
      <c r="A35" s="18" t="s">
        <v>34</v>
      </c>
    </row>
  </sheetData>
  <sheetProtection/>
  <printOptions/>
  <pageMargins left="0.1968503937007874" right="0.1968503937007874" top="0.7874015748031497" bottom="0.1968503937007874" header="0.11811023622047245" footer="0.11811023622047245"/>
  <pageSetup fitToHeight="1" fitToWidth="1" horizontalDpi="300" verticalDpi="300" orientation="landscape" paperSize="9" scale="79" r:id="rId2"/>
  <headerFooter alignWithMargins="0">
    <oddFooter>&amp;C&amp;F&amp;RPagina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Smith</dc:creator>
  <cp:keywords/>
  <dc:description/>
  <cp:lastModifiedBy>taddia_m</cp:lastModifiedBy>
  <cp:lastPrinted>2013-05-31T09:37:24Z</cp:lastPrinted>
  <dcterms:created xsi:type="dcterms:W3CDTF">2005-08-23T10:23:34Z</dcterms:created>
  <dcterms:modified xsi:type="dcterms:W3CDTF">2016-04-13T08:20:44Z</dcterms:modified>
  <cp:category/>
  <cp:version/>
  <cp:contentType/>
  <cp:contentStatus/>
</cp:coreProperties>
</file>