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95" windowWidth="9255" windowHeight="11775" activeTab="0"/>
  </bookViews>
  <sheets>
    <sheet name="dal 2009" sheetId="1" r:id="rId1"/>
    <sheet name="dal 2004 al 2009" sheetId="2" r:id="rId2"/>
    <sheet name="dal 1995 al 2004" sheetId="3" r:id="rId3"/>
    <sheet name="dal 1991 al 1994" sheetId="4" r:id="rId4"/>
  </sheets>
  <definedNames>
    <definedName name="_xlnm.Print_Area" localSheetId="3">'dal 1991 al 1994'!$A$1:$T$45</definedName>
    <definedName name="_xlnm.Print_Area" localSheetId="2">'dal 1995 al 2004'!$A$4:$Y$114</definedName>
    <definedName name="_xlnm.Print_Area" localSheetId="1">'dal 2004 al 2009'!$A$4:$Y$72</definedName>
    <definedName name="_xlnm.Print_Titles" localSheetId="2">'dal 1995 al 2004'!$1:$2</definedName>
    <definedName name="_xlnm.Print_Titles" localSheetId="1">'dal 2004 al 2009'!$1:$2</definedName>
  </definedNames>
  <calcPr fullCalcOnLoad="1"/>
</workbook>
</file>

<file path=xl/sharedStrings.xml><?xml version="1.0" encoding="utf-8"?>
<sst xmlns="http://schemas.openxmlformats.org/spreadsheetml/2006/main" count="497" uniqueCount="99">
  <si>
    <t>REGISTRO IMPRESE - MOVIMENTAZIONE E CONSISTENZA A FINE PERIODO DELLE IMPRESE IN PROVINCIA DI MODENA PER SETTORI DEL TERZIARIO DAL 1995</t>
  </si>
  <si>
    <t>PERIODI</t>
  </si>
  <si>
    <t>COMMERCIO E RIPAR. AUTO-MOTO (G50)</t>
  </si>
  <si>
    <t>COMM. ALL'INGROSSO E INTERMED. (G51)</t>
  </si>
  <si>
    <t>COMM. AL MINUTO, RIPARAZIONI (G52)</t>
  </si>
  <si>
    <t>ALBERGHI E RISTORANTI (H55)</t>
  </si>
  <si>
    <t>TRASPORTI (I)</t>
  </si>
  <si>
    <t>INTERMEDIAZIONE FINANZIARIA (J)</t>
  </si>
  <si>
    <t>attive</t>
  </si>
  <si>
    <t>iscritte</t>
  </si>
  <si>
    <t>cessate</t>
  </si>
  <si>
    <t>saldo</t>
  </si>
  <si>
    <t>Anno 1995</t>
  </si>
  <si>
    <t>Anno 1996</t>
  </si>
  <si>
    <t>Anno 1997</t>
  </si>
  <si>
    <t>Anno 1998</t>
  </si>
  <si>
    <t>Anno 1999</t>
  </si>
  <si>
    <t>Anno 2000</t>
  </si>
  <si>
    <t>Anno 2001</t>
  </si>
  <si>
    <t>Anno 2002</t>
  </si>
  <si>
    <t>Anno 2003</t>
  </si>
  <si>
    <t>1995 - 1° trim.</t>
  </si>
  <si>
    <t xml:space="preserve"> - 2° trim.</t>
  </si>
  <si>
    <t xml:space="preserve"> - 3° trim.</t>
  </si>
  <si>
    <t xml:space="preserve"> - 4° trim.</t>
  </si>
  <si>
    <t>1996 - 1° trim.</t>
  </si>
  <si>
    <t>1997 - 1° trim.</t>
  </si>
  <si>
    <t>1998 - 1° trim.</t>
  </si>
  <si>
    <t>1999 - 1° trim.</t>
  </si>
  <si>
    <t>2000 - 1° trim.</t>
  </si>
  <si>
    <t>2001 - 1° trim.</t>
  </si>
  <si>
    <t>2002 - 1° trim.</t>
  </si>
  <si>
    <t>2003 - 1° trim.</t>
  </si>
  <si>
    <t>IMMOBILIARI (K70)</t>
  </si>
  <si>
    <t>INFORMATICA (K72)</t>
  </si>
  <si>
    <t>ALTRI SERVIZI ALLE IMPRESE (K71+K73+K74)</t>
  </si>
  <si>
    <t>SERVIZI ALLE PERSONE (M+N+O)</t>
  </si>
  <si>
    <t>TOTALE</t>
  </si>
  <si>
    <t>Nota: Dal 1995 i dati sono pubblicati con la nuova codifica delle attività economiche ISTAT '91; non è quindi possibile continuare la serie storica precedente, codificata con i codici ISTAT '81.</t>
  </si>
  <si>
    <t>La somma algebrica delle iscrizioni e cessazioni non consente di ricostruire la successione delle consistenze, le quali comprendono anche le variazioni (di attività, di provincia, ecc. )</t>
  </si>
  <si>
    <t>REGISTRO IMPRESE - MOVIMENTAZIONE E CONSISTENZA A FINE PERIODO DELLE IMPRESE IN PROVINCIA DI MODENA</t>
  </si>
  <si>
    <r>
      <t>PER SETTORI DEL TERZIARIO</t>
    </r>
    <r>
      <rPr>
        <sz val="10"/>
        <rFont val="Arial"/>
        <family val="0"/>
      </rPr>
      <t xml:space="preserve"> - Anni 1991 - 1994</t>
    </r>
  </si>
  <si>
    <t>INGROSSO</t>
  </si>
  <si>
    <t>INTERMEDIARI</t>
  </si>
  <si>
    <t>MINUTO</t>
  </si>
  <si>
    <t>PUBBLICI ESERC. E ESERC. ALBER.</t>
  </si>
  <si>
    <t>iscrizioni</t>
  </si>
  <si>
    <t>cessazioni</t>
  </si>
  <si>
    <t>Anno 1991</t>
  </si>
  <si>
    <t>Anno 1992</t>
  </si>
  <si>
    <t>Anno 1993</t>
  </si>
  <si>
    <t>Anno 1994</t>
  </si>
  <si>
    <t>1994 - 1° trim.</t>
  </si>
  <si>
    <t>RIPARAZIONI</t>
  </si>
  <si>
    <t>TRASPORTI</t>
  </si>
  <si>
    <t>CREDITO, ASSICURAZIONI</t>
  </si>
  <si>
    <t>SERVIZI ALLE IMPRESE</t>
  </si>
  <si>
    <t>SERVIZI ALLE PERSONE</t>
  </si>
  <si>
    <t>Fonte: Movimprese - Infocamere</t>
  </si>
  <si>
    <t xml:space="preserve">Nota: La somma algebrica delle iscrizioni e cessazioni non consente di ricostruire la successione delle consistenze, </t>
  </si>
  <si>
    <t>le quali comprendono anche le variazioni (di attività, di provincia, ecc.)</t>
  </si>
  <si>
    <t>2004 - 1° trim.</t>
  </si>
  <si>
    <t>Anno 2004</t>
  </si>
  <si>
    <t>2005 - 1° trim.</t>
  </si>
  <si>
    <t>Anno 2005</t>
  </si>
  <si>
    <t>2006 - 1° trim.</t>
  </si>
  <si>
    <t>Anno 2006</t>
  </si>
  <si>
    <t>2007 - 1° trim.</t>
  </si>
  <si>
    <t>Anno 2007</t>
  </si>
  <si>
    <t>2008 - 1° trim.</t>
  </si>
  <si>
    <t>Anno 2008</t>
  </si>
  <si>
    <t>Anno 2009</t>
  </si>
  <si>
    <t>2009 - 1° trim.</t>
  </si>
  <si>
    <t>COMMERCIO E RIPAR. AUTO-MOTO (G45)</t>
  </si>
  <si>
    <t>COMM. ALL'INGROSSO E INTERMED. (G46)</t>
  </si>
  <si>
    <t>COMM. AL DETTAGLIO (G47)</t>
  </si>
  <si>
    <t>ALBERGHI E RISTORANTI (I55 I56)</t>
  </si>
  <si>
    <t>INFORMATICA (J62 J63)</t>
  </si>
  <si>
    <t>INTERMEDIAZIONE FINANZIARIA (K64 K65 K 66)</t>
  </si>
  <si>
    <t>IMMOBILIARI (L68)</t>
  </si>
  <si>
    <t>REGISTRO IMPRESE - MOVIMENTAZIONE E CONSISTENZA A FINE PERIODO DELLE IMPRESE IN PROVINCIA DI MODENA PER SETTORI DEL TERZIARIO DAL 2009 - Atecori 2007</t>
  </si>
  <si>
    <t>REGISTRO IMPRESE - MOVIMENTAZIONE E CONSISTENZA A FINE PERIODO DELLE IMPRESE IN PROVINCIA DI MODENA PER SETTORI DEL TERZIARIO DAL 2004 - Atecori 2002</t>
  </si>
  <si>
    <t>2010 - 1° trim.</t>
  </si>
  <si>
    <t>Anno 2010</t>
  </si>
  <si>
    <t>2011 - 1° trim.</t>
  </si>
  <si>
    <t>Anno 2011</t>
  </si>
  <si>
    <t>2012 - 1° trim.</t>
  </si>
  <si>
    <t>Anno 2012</t>
  </si>
  <si>
    <t>SERVIZI ALLE IMPRESE                (M69 M70M71M72M73M74 N77N78 N80 N81 N82)</t>
  </si>
  <si>
    <t>SERVIZI ALLE PERSONE               (M75 N79 P85 Q86 Q87 Q88 R90 R91 R92 R93 S94 S95 S96)</t>
  </si>
  <si>
    <t>TRASPORTI                                    (H49 H50 H51 H52 H53)</t>
  </si>
  <si>
    <t>ATTIVITA' EDITORIALI TELEVISIVE E COMUNICAZIONI                        (J58 J59 J60 J61)</t>
  </si>
  <si>
    <t>Anno 2013</t>
  </si>
  <si>
    <t>2013 - 1° trim.</t>
  </si>
  <si>
    <t>2014 - 1° trim.</t>
  </si>
  <si>
    <t>Anno 2014</t>
  </si>
  <si>
    <t>Nota: Dal 2009 i dati sono pubblicati con la nuova codifica ATECO 2007 in sostituzione alle attività economiche codificate ATECO 2002 in vigore dal 2004, queste ultime già consecutive alla serie storica codificata con i codici ISTAT '91 (dal 1995 al 2004).</t>
  </si>
  <si>
    <t>Anno 2015</t>
  </si>
  <si>
    <t>2015 - 1° trim.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</si>
</sst>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_ &quot;L.&quot;\ * #,##0_ ;_ &quot;L.&quot;\ * \-#,##0_ ;_ &quot;L.&quot;\ * &quot;-&quot;_ ;_ @_ "/>
    <numFmt numFmtId="175" formatCode="_ * #,##0_ ;_ * \-#,##0_ ;_ * &quot;-&quot;_ ;_ @_ "/>
    <numFmt numFmtId="176" formatCode="_ &quot;L.&quot;\ * #,##0.00_ ;_ &quot;L.&quot;\ * \-#,##0.00_ ;_ &quot;L.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7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7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Continuous" vertical="center" wrapText="1"/>
    </xf>
    <xf numFmtId="0" fontId="5" fillId="0" borderId="24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wrapText="1"/>
    </xf>
    <xf numFmtId="0" fontId="5" fillId="0" borderId="25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27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" fillId="0" borderId="28" xfId="0" applyFont="1" applyBorder="1" applyAlignment="1">
      <alignment horizontal="centerContinuous" wrapText="1"/>
    </xf>
    <xf numFmtId="0" fontId="1" fillId="0" borderId="30" xfId="0" applyFont="1" applyBorder="1" applyAlignment="1">
      <alignment horizontal="centerContinuous" wrapText="1"/>
    </xf>
    <xf numFmtId="0" fontId="1" fillId="0" borderId="31" xfId="0" applyFont="1" applyBorder="1" applyAlignment="1">
      <alignment horizontal="centerContinuous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Continuous" vertical="center" wrapText="1"/>
    </xf>
    <xf numFmtId="0" fontId="5" fillId="0" borderId="30" xfId="0" applyFont="1" applyBorder="1" applyAlignment="1">
      <alignment horizontal="centerContinuous" vertical="center" wrapText="1"/>
    </xf>
    <xf numFmtId="0" fontId="5" fillId="0" borderId="30" xfId="0" applyFont="1" applyBorder="1" applyAlignment="1">
      <alignment horizontal="centerContinuous" wrapText="1"/>
    </xf>
    <xf numFmtId="0" fontId="5" fillId="0" borderId="31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horizontal="centerContinuous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mprese 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imprese 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1"/>
  <sheetViews>
    <sheetView tabSelected="1" zoomScalePageLayoutView="0" workbookViewId="0" topLeftCell="A1">
      <selection activeCell="Z79" sqref="Z79"/>
    </sheetView>
  </sheetViews>
  <sheetFormatPr defaultColWidth="9.140625" defaultRowHeight="12.75"/>
  <cols>
    <col min="1" max="1" width="14.28125" style="0" customWidth="1"/>
    <col min="2" max="2" width="5.421875" style="0" customWidth="1"/>
    <col min="3" max="3" width="6.00390625" style="0" customWidth="1"/>
    <col min="4" max="4" width="6.57421875" style="0" customWidth="1"/>
    <col min="5" max="5" width="5.140625" style="0" customWidth="1"/>
    <col min="6" max="6" width="5.421875" style="0" customWidth="1"/>
    <col min="7" max="7" width="6.00390625" style="0" customWidth="1"/>
    <col min="8" max="8" width="6.57421875" style="0" customWidth="1"/>
    <col min="9" max="9" width="5.7109375" style="0" customWidth="1"/>
    <col min="10" max="10" width="6.421875" style="0" customWidth="1"/>
    <col min="11" max="11" width="6.00390625" style="0" customWidth="1"/>
    <col min="12" max="12" width="6.57421875" style="0" customWidth="1"/>
    <col min="13" max="13" width="5.140625" style="0" customWidth="1"/>
    <col min="14" max="14" width="5.421875" style="0" customWidth="1"/>
    <col min="15" max="15" width="6.00390625" style="0" customWidth="1"/>
    <col min="16" max="16" width="6.57421875" style="0" customWidth="1"/>
    <col min="17" max="17" width="5.140625" style="0" customWidth="1"/>
    <col min="18" max="18" width="6.421875" style="0" customWidth="1"/>
    <col min="19" max="19" width="6.00390625" style="0" customWidth="1"/>
    <col min="20" max="20" width="6.57421875" style="0" customWidth="1"/>
    <col min="21" max="21" width="5.8515625" style="0" customWidth="1"/>
    <col min="22" max="22" width="6.421875" style="0" bestFit="1" customWidth="1"/>
    <col min="23" max="23" width="6.00390625" style="0" customWidth="1"/>
    <col min="24" max="24" width="6.57421875" style="0" customWidth="1"/>
    <col min="25" max="25" width="5.140625" style="0" customWidth="1"/>
    <col min="42" max="42" width="10.140625" style="0" customWidth="1"/>
  </cols>
  <sheetData>
    <row r="1" spans="1:25" s="34" customFormat="1" ht="27" customHeight="1">
      <c r="A1" s="70" t="s">
        <v>80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17" ht="12.75">
      <c r="A2" s="6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46" s="43" customFormat="1" ht="30" customHeight="1">
      <c r="A3" s="79" t="s">
        <v>1</v>
      </c>
      <c r="B3" s="74" t="s">
        <v>73</v>
      </c>
      <c r="C3" s="75"/>
      <c r="D3" s="76"/>
      <c r="E3" s="77"/>
      <c r="F3" s="74" t="s">
        <v>74</v>
      </c>
      <c r="G3" s="75"/>
      <c r="H3" s="76"/>
      <c r="I3" s="75"/>
      <c r="J3" s="74" t="s">
        <v>75</v>
      </c>
      <c r="K3" s="75"/>
      <c r="L3" s="76"/>
      <c r="M3" s="75"/>
      <c r="N3" s="74" t="s">
        <v>90</v>
      </c>
      <c r="O3" s="75"/>
      <c r="P3" s="76"/>
      <c r="Q3" s="77"/>
      <c r="R3" s="74" t="s">
        <v>76</v>
      </c>
      <c r="S3" s="75"/>
      <c r="T3" s="76"/>
      <c r="U3" s="75"/>
      <c r="V3" s="81" t="s">
        <v>91</v>
      </c>
      <c r="W3" s="82"/>
      <c r="X3" s="82"/>
      <c r="Y3" s="83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42"/>
    </row>
    <row r="4" spans="1:46" s="4" customFormat="1" ht="12.75">
      <c r="A4" s="44"/>
      <c r="B4" s="45" t="s">
        <v>8</v>
      </c>
      <c r="C4" s="45" t="s">
        <v>9</v>
      </c>
      <c r="D4" s="45" t="s">
        <v>10</v>
      </c>
      <c r="E4" s="45" t="s">
        <v>11</v>
      </c>
      <c r="F4" s="46" t="s">
        <v>8</v>
      </c>
      <c r="G4" s="45" t="s">
        <v>9</v>
      </c>
      <c r="H4" s="45" t="s">
        <v>10</v>
      </c>
      <c r="I4" s="45" t="s">
        <v>11</v>
      </c>
      <c r="J4" s="46" t="s">
        <v>8</v>
      </c>
      <c r="K4" s="45" t="s">
        <v>9</v>
      </c>
      <c r="L4" s="45" t="s">
        <v>10</v>
      </c>
      <c r="M4" s="45" t="s">
        <v>11</v>
      </c>
      <c r="N4" s="46" t="s">
        <v>8</v>
      </c>
      <c r="O4" s="45" t="s">
        <v>9</v>
      </c>
      <c r="P4" s="45" t="s">
        <v>10</v>
      </c>
      <c r="Q4" s="47" t="s">
        <v>11</v>
      </c>
      <c r="R4" s="46" t="s">
        <v>8</v>
      </c>
      <c r="S4" s="45" t="s">
        <v>9</v>
      </c>
      <c r="T4" s="45" t="s">
        <v>10</v>
      </c>
      <c r="U4" s="45" t="s">
        <v>11</v>
      </c>
      <c r="V4" s="46" t="s">
        <v>8</v>
      </c>
      <c r="W4" s="45" t="s">
        <v>9</v>
      </c>
      <c r="X4" s="45" t="s">
        <v>10</v>
      </c>
      <c r="Y4" s="47" t="s">
        <v>11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 s="48"/>
    </row>
    <row r="5" spans="1:46" s="5" customFormat="1" ht="12.75">
      <c r="A5" s="49" t="s">
        <v>71</v>
      </c>
      <c r="B5" s="50">
        <f>B16</f>
        <v>1617</v>
      </c>
      <c r="C5" s="50">
        <f>SUM(C13:C16)</f>
        <v>65</v>
      </c>
      <c r="D5" s="50">
        <f aca="true" t="shared" si="0" ref="D5:X5">SUM(D13:D16)</f>
        <v>70</v>
      </c>
      <c r="E5" s="50">
        <f t="shared" si="0"/>
        <v>-5</v>
      </c>
      <c r="F5" s="50">
        <f>F16</f>
        <v>6045</v>
      </c>
      <c r="G5" s="50">
        <f t="shared" si="0"/>
        <v>393</v>
      </c>
      <c r="H5" s="50">
        <f t="shared" si="0"/>
        <v>490</v>
      </c>
      <c r="I5" s="50">
        <f t="shared" si="0"/>
        <v>-97</v>
      </c>
      <c r="J5" s="50">
        <f>J16</f>
        <v>7091</v>
      </c>
      <c r="K5" s="50">
        <f t="shared" si="0"/>
        <v>466</v>
      </c>
      <c r="L5" s="50">
        <f t="shared" si="0"/>
        <v>621</v>
      </c>
      <c r="M5" s="50">
        <f t="shared" si="0"/>
        <v>-155</v>
      </c>
      <c r="N5" s="50">
        <f>N16</f>
        <v>2668</v>
      </c>
      <c r="O5" s="50">
        <f t="shared" si="0"/>
        <v>80</v>
      </c>
      <c r="P5" s="50">
        <f t="shared" si="0"/>
        <v>203</v>
      </c>
      <c r="Q5" s="50">
        <f t="shared" si="0"/>
        <v>-123</v>
      </c>
      <c r="R5" s="50">
        <f>R16</f>
        <v>3507</v>
      </c>
      <c r="S5" s="50">
        <f t="shared" si="0"/>
        <v>272</v>
      </c>
      <c r="T5" s="50">
        <f t="shared" si="0"/>
        <v>335</v>
      </c>
      <c r="U5" s="50">
        <f t="shared" si="0"/>
        <v>-63</v>
      </c>
      <c r="V5" s="50">
        <f>V16</f>
        <v>291</v>
      </c>
      <c r="W5" s="50">
        <f t="shared" si="0"/>
        <v>25</v>
      </c>
      <c r="X5" s="50">
        <f t="shared" si="0"/>
        <v>38</v>
      </c>
      <c r="Y5" s="50">
        <f>SUM(Y13:Y16)</f>
        <v>-13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 s="48"/>
    </row>
    <row r="6" spans="1:46" s="5" customFormat="1" ht="12.75">
      <c r="A6" s="49" t="s">
        <v>83</v>
      </c>
      <c r="B6" s="50">
        <f>B20</f>
        <v>1644</v>
      </c>
      <c r="C6" s="50">
        <f>SUM(C17:C20)</f>
        <v>88</v>
      </c>
      <c r="D6" s="50">
        <f>SUM(D17:D20)</f>
        <v>86</v>
      </c>
      <c r="E6" s="50">
        <f>SUM(E17:E20)</f>
        <v>2</v>
      </c>
      <c r="F6" s="50">
        <f>F20</f>
        <v>6110</v>
      </c>
      <c r="G6" s="50">
        <f>SUM(G17:G20)</f>
        <v>421</v>
      </c>
      <c r="H6" s="50">
        <f>SUM(H17:H20)</f>
        <v>478</v>
      </c>
      <c r="I6" s="50">
        <f>SUM(I17:I20)</f>
        <v>-57</v>
      </c>
      <c r="J6" s="50">
        <f>J20</f>
        <v>7143</v>
      </c>
      <c r="K6" s="50">
        <f>SUM(K17:K20)</f>
        <v>457</v>
      </c>
      <c r="L6" s="50">
        <f>SUM(L17:L20)</f>
        <v>622</v>
      </c>
      <c r="M6" s="50">
        <f>SUM(M17:M20)</f>
        <v>-165</v>
      </c>
      <c r="N6" s="50">
        <f>N20</f>
        <v>2605</v>
      </c>
      <c r="O6" s="50">
        <f>SUM(O17:O20)</f>
        <v>58</v>
      </c>
      <c r="P6" s="50">
        <f>SUM(P17:P20)</f>
        <v>159</v>
      </c>
      <c r="Q6" s="50">
        <f>SUM(Q17:Q20)</f>
        <v>-101</v>
      </c>
      <c r="R6" s="50">
        <f>R20</f>
        <v>3602</v>
      </c>
      <c r="S6" s="50">
        <f>SUM(S17:S20)</f>
        <v>239</v>
      </c>
      <c r="T6" s="50">
        <f>SUM(T17:T20)</f>
        <v>330</v>
      </c>
      <c r="U6" s="50">
        <f>SUM(U17:U20)</f>
        <v>-91</v>
      </c>
      <c r="V6" s="50">
        <f>V20</f>
        <v>289</v>
      </c>
      <c r="W6" s="50">
        <f>SUM(W17:W20)</f>
        <v>16</v>
      </c>
      <c r="X6" s="50">
        <f>SUM(X17:X20)</f>
        <v>30</v>
      </c>
      <c r="Y6" s="50">
        <f>SUM(Y17:Y20)</f>
        <v>-14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 s="48"/>
    </row>
    <row r="7" spans="1:46" s="5" customFormat="1" ht="12.75">
      <c r="A7" s="49" t="s">
        <v>85</v>
      </c>
      <c r="B7" s="50">
        <f>B24</f>
        <v>1675</v>
      </c>
      <c r="C7" s="50">
        <f>SUM(C21:C24)</f>
        <v>76</v>
      </c>
      <c r="D7" s="50">
        <f aca="true" t="shared" si="1" ref="D7:Y7">SUM(D21:D24)</f>
        <v>65</v>
      </c>
      <c r="E7" s="50">
        <f>SUM(E21:E24)</f>
        <v>11</v>
      </c>
      <c r="F7" s="50">
        <f>F24</f>
        <v>6160</v>
      </c>
      <c r="G7" s="50">
        <f t="shared" si="1"/>
        <v>358</v>
      </c>
      <c r="H7" s="50">
        <f t="shared" si="1"/>
        <v>382</v>
      </c>
      <c r="I7" s="50">
        <f>SUM(I21:I24)</f>
        <v>-24</v>
      </c>
      <c r="J7" s="50">
        <f>J24</f>
        <v>7193</v>
      </c>
      <c r="K7" s="50">
        <f t="shared" si="1"/>
        <v>383</v>
      </c>
      <c r="L7" s="50">
        <f t="shared" si="1"/>
        <v>515</v>
      </c>
      <c r="M7" s="50">
        <f t="shared" si="1"/>
        <v>-132</v>
      </c>
      <c r="N7" s="50">
        <f>N24</f>
        <v>2558</v>
      </c>
      <c r="O7" s="50">
        <f t="shared" si="1"/>
        <v>35</v>
      </c>
      <c r="P7" s="50">
        <f t="shared" si="1"/>
        <v>142</v>
      </c>
      <c r="Q7" s="50">
        <f t="shared" si="1"/>
        <v>-107</v>
      </c>
      <c r="R7" s="50">
        <f>R24</f>
        <v>3635</v>
      </c>
      <c r="S7" s="50">
        <f t="shared" si="1"/>
        <v>208</v>
      </c>
      <c r="T7" s="50">
        <f t="shared" si="1"/>
        <v>314</v>
      </c>
      <c r="U7" s="50">
        <f t="shared" si="1"/>
        <v>-106</v>
      </c>
      <c r="V7" s="50">
        <f>V24</f>
        <v>292</v>
      </c>
      <c r="W7" s="50">
        <f t="shared" si="1"/>
        <v>15</v>
      </c>
      <c r="X7" s="50">
        <f t="shared" si="1"/>
        <v>24</v>
      </c>
      <c r="Y7" s="50">
        <f t="shared" si="1"/>
        <v>-9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 s="48"/>
    </row>
    <row r="8" spans="1:46" s="5" customFormat="1" ht="12.75">
      <c r="A8" s="49" t="s">
        <v>87</v>
      </c>
      <c r="B8" s="50">
        <f>B28</f>
        <v>1690</v>
      </c>
      <c r="C8" s="50">
        <f>SUM(C25:C28)</f>
        <v>75</v>
      </c>
      <c r="D8" s="50">
        <f>SUM(D25:D28)</f>
        <v>81</v>
      </c>
      <c r="E8" s="50">
        <f>SUM(E25:E28)</f>
        <v>-6</v>
      </c>
      <c r="F8" s="50">
        <f>F28</f>
        <v>6130</v>
      </c>
      <c r="G8" s="50">
        <f>SUM(G25:G28)</f>
        <v>326</v>
      </c>
      <c r="H8" s="50">
        <f>SUM(H25:H28)</f>
        <v>458</v>
      </c>
      <c r="I8" s="50">
        <f>SUM(I25:I28)</f>
        <v>-132</v>
      </c>
      <c r="J8" s="50">
        <f>J28</f>
        <v>7084</v>
      </c>
      <c r="K8" s="50">
        <f>SUM(K25:K28)</f>
        <v>332</v>
      </c>
      <c r="L8" s="50">
        <f>SUM(L25:L28)</f>
        <v>609</v>
      </c>
      <c r="M8" s="50">
        <f>SUM(M25:M28)</f>
        <v>-277</v>
      </c>
      <c r="N8" s="50">
        <f>N28</f>
        <v>2541</v>
      </c>
      <c r="O8" s="50">
        <f>SUM(O25:O28)</f>
        <v>67</v>
      </c>
      <c r="P8" s="50">
        <f>SUM(P25:P28)</f>
        <v>139</v>
      </c>
      <c r="Q8" s="50">
        <f>SUM(Q25:Q28)</f>
        <v>-72</v>
      </c>
      <c r="R8" s="50">
        <f>R28</f>
        <v>3653</v>
      </c>
      <c r="S8" s="50">
        <f>SUM(S25:S28)</f>
        <v>200</v>
      </c>
      <c r="T8" s="50">
        <f>SUM(T25:T28)</f>
        <v>339</v>
      </c>
      <c r="U8" s="50">
        <f>SUM(U25:U28)</f>
        <v>-139</v>
      </c>
      <c r="V8" s="50">
        <f>V28</f>
        <v>294</v>
      </c>
      <c r="W8" s="50">
        <f>SUM(W25:W28)</f>
        <v>19</v>
      </c>
      <c r="X8" s="50">
        <f>SUM(X25:X28)</f>
        <v>17</v>
      </c>
      <c r="Y8" s="50">
        <f>SUM(Y25:Y28)</f>
        <v>2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 s="48"/>
    </row>
    <row r="9" spans="1:46" s="5" customFormat="1" ht="12.75">
      <c r="A9" s="49" t="s">
        <v>92</v>
      </c>
      <c r="B9" s="50">
        <f>B32</f>
        <v>1693</v>
      </c>
      <c r="C9" s="50">
        <f>SUM(C29:C32)</f>
        <v>86</v>
      </c>
      <c r="D9" s="50">
        <f>SUM(D29:D32)</f>
        <v>108</v>
      </c>
      <c r="E9" s="50">
        <f>SUM(E29:E32)</f>
        <v>-22</v>
      </c>
      <c r="F9" s="50">
        <f>F32</f>
        <v>6250</v>
      </c>
      <c r="G9" s="50">
        <f>SUM(G29:G32)</f>
        <v>447</v>
      </c>
      <c r="H9" s="50">
        <f aca="true" t="shared" si="2" ref="H9:Y9">SUM(H29:H32)</f>
        <v>476</v>
      </c>
      <c r="I9" s="50">
        <f t="shared" si="2"/>
        <v>-29</v>
      </c>
      <c r="J9" s="50">
        <f>J32</f>
        <v>7022</v>
      </c>
      <c r="K9" s="50">
        <f t="shared" si="2"/>
        <v>350</v>
      </c>
      <c r="L9" s="50">
        <f t="shared" si="2"/>
        <v>615</v>
      </c>
      <c r="M9" s="50">
        <f t="shared" si="2"/>
        <v>-265</v>
      </c>
      <c r="N9" s="50">
        <f>N32</f>
        <v>2422</v>
      </c>
      <c r="O9" s="50">
        <f t="shared" si="2"/>
        <v>58</v>
      </c>
      <c r="P9" s="50">
        <f t="shared" si="2"/>
        <v>152</v>
      </c>
      <c r="Q9" s="50">
        <f t="shared" si="2"/>
        <v>-94</v>
      </c>
      <c r="R9" s="50">
        <f>R32</f>
        <v>3709</v>
      </c>
      <c r="S9" s="50">
        <f t="shared" si="2"/>
        <v>246</v>
      </c>
      <c r="T9" s="50">
        <f t="shared" si="2"/>
        <v>337</v>
      </c>
      <c r="U9" s="50">
        <f t="shared" si="2"/>
        <v>-91</v>
      </c>
      <c r="V9" s="50">
        <f>V32</f>
        <v>286</v>
      </c>
      <c r="W9" s="50">
        <f t="shared" si="2"/>
        <v>16</v>
      </c>
      <c r="X9" s="50">
        <f t="shared" si="2"/>
        <v>20</v>
      </c>
      <c r="Y9" s="50">
        <f t="shared" si="2"/>
        <v>-4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 s="48"/>
    </row>
    <row r="10" spans="1:46" s="5" customFormat="1" ht="12.75">
      <c r="A10" s="49" t="s">
        <v>95</v>
      </c>
      <c r="B10" s="50">
        <f>B36</f>
        <v>1719</v>
      </c>
      <c r="C10" s="50">
        <f>SUM(C33:C36)</f>
        <v>88</v>
      </c>
      <c r="D10" s="50">
        <f aca="true" t="shared" si="3" ref="D10:Y10">SUM(D33:D36)</f>
        <v>81</v>
      </c>
      <c r="E10" s="50">
        <f t="shared" si="3"/>
        <v>7</v>
      </c>
      <c r="F10" s="50">
        <f>F36</f>
        <v>6178</v>
      </c>
      <c r="G10" s="50">
        <f t="shared" si="3"/>
        <v>376</v>
      </c>
      <c r="H10" s="50">
        <f t="shared" si="3"/>
        <v>467</v>
      </c>
      <c r="I10" s="50">
        <f t="shared" si="3"/>
        <v>-91</v>
      </c>
      <c r="J10" s="50">
        <f>J36</f>
        <v>6952</v>
      </c>
      <c r="K10" s="50">
        <f t="shared" si="3"/>
        <v>348</v>
      </c>
      <c r="L10" s="50">
        <f t="shared" si="3"/>
        <v>615</v>
      </c>
      <c r="M10" s="50">
        <f t="shared" si="3"/>
        <v>-267</v>
      </c>
      <c r="N10" s="50">
        <f>N36</f>
        <v>2373</v>
      </c>
      <c r="O10" s="50">
        <f t="shared" si="3"/>
        <v>43</v>
      </c>
      <c r="P10" s="50">
        <f t="shared" si="3"/>
        <v>242</v>
      </c>
      <c r="Q10" s="50">
        <f t="shared" si="3"/>
        <v>-199</v>
      </c>
      <c r="R10" s="50">
        <f>R36</f>
        <v>3764</v>
      </c>
      <c r="S10" s="50">
        <f t="shared" si="3"/>
        <v>214</v>
      </c>
      <c r="T10" s="50">
        <f t="shared" si="3"/>
        <v>327</v>
      </c>
      <c r="U10" s="50">
        <f t="shared" si="3"/>
        <v>-113</v>
      </c>
      <c r="V10" s="50">
        <f>V36</f>
        <v>280</v>
      </c>
      <c r="W10" s="50">
        <f t="shared" si="3"/>
        <v>11</v>
      </c>
      <c r="X10" s="50">
        <f t="shared" si="3"/>
        <v>23</v>
      </c>
      <c r="Y10" s="50">
        <f t="shared" si="3"/>
        <v>-12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 s="48"/>
    </row>
    <row r="11" spans="1:46" s="5" customFormat="1" ht="12.75">
      <c r="A11" s="49" t="s">
        <v>97</v>
      </c>
      <c r="B11" s="50">
        <f>B40</f>
        <v>1708</v>
      </c>
      <c r="C11" s="50">
        <f>SUM(C37:C40)</f>
        <v>78</v>
      </c>
      <c r="D11" s="50">
        <f aca="true" t="shared" si="4" ref="D11:Y11">SUM(D37:D40)</f>
        <v>99</v>
      </c>
      <c r="E11" s="50">
        <f t="shared" si="4"/>
        <v>-21</v>
      </c>
      <c r="F11" s="50">
        <f>F40</f>
        <v>6080</v>
      </c>
      <c r="G11" s="50">
        <f t="shared" si="4"/>
        <v>353</v>
      </c>
      <c r="H11" s="50">
        <f t="shared" si="4"/>
        <v>459</v>
      </c>
      <c r="I11" s="50">
        <f t="shared" si="4"/>
        <v>-106</v>
      </c>
      <c r="J11" s="50">
        <f>J40</f>
        <v>6951</v>
      </c>
      <c r="K11" s="50">
        <f t="shared" si="4"/>
        <v>365</v>
      </c>
      <c r="L11" s="50">
        <f t="shared" si="4"/>
        <v>508</v>
      </c>
      <c r="M11" s="50">
        <f t="shared" si="4"/>
        <v>-143</v>
      </c>
      <c r="N11" s="50">
        <f>N40</f>
        <v>2335</v>
      </c>
      <c r="O11" s="50">
        <f t="shared" si="4"/>
        <v>43</v>
      </c>
      <c r="P11" s="50">
        <f t="shared" si="4"/>
        <v>119</v>
      </c>
      <c r="Q11" s="50">
        <f t="shared" si="4"/>
        <v>-76</v>
      </c>
      <c r="R11" s="50">
        <f>R40</f>
        <v>3807</v>
      </c>
      <c r="S11" s="50">
        <f t="shared" si="4"/>
        <v>248</v>
      </c>
      <c r="T11" s="50">
        <f t="shared" si="4"/>
        <v>347</v>
      </c>
      <c r="U11" s="50">
        <f t="shared" si="4"/>
        <v>-99</v>
      </c>
      <c r="V11" s="50">
        <f>V40</f>
        <v>265</v>
      </c>
      <c r="W11" s="50">
        <f t="shared" si="4"/>
        <v>9</v>
      </c>
      <c r="X11" s="50">
        <f t="shared" si="4"/>
        <v>20</v>
      </c>
      <c r="Y11" s="50">
        <f t="shared" si="4"/>
        <v>-11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 s="48"/>
    </row>
    <row r="12" spans="1:46" s="5" customFormat="1" ht="12.7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 s="48"/>
    </row>
    <row r="13" spans="1:47" ht="12.75">
      <c r="A13" s="53" t="s">
        <v>72</v>
      </c>
      <c r="B13" s="60">
        <v>1609</v>
      </c>
      <c r="C13" s="60">
        <v>29</v>
      </c>
      <c r="D13" s="60">
        <v>31</v>
      </c>
      <c r="E13" s="50">
        <f aca="true" t="shared" si="5" ref="E13:E28">C13-D13</f>
        <v>-2</v>
      </c>
      <c r="F13" s="60">
        <v>5987</v>
      </c>
      <c r="G13" s="60">
        <v>128</v>
      </c>
      <c r="H13" s="60">
        <v>198</v>
      </c>
      <c r="I13" s="50">
        <f aca="true" t="shared" si="6" ref="I13:I28">G13-H13</f>
        <v>-70</v>
      </c>
      <c r="J13" s="60">
        <v>7019</v>
      </c>
      <c r="K13" s="60">
        <v>124</v>
      </c>
      <c r="L13" s="60">
        <v>237</v>
      </c>
      <c r="M13" s="50">
        <f aca="true" t="shared" si="7" ref="M13:M28">K13-L13</f>
        <v>-113</v>
      </c>
      <c r="N13" s="60">
        <v>2728</v>
      </c>
      <c r="O13" s="60">
        <v>27</v>
      </c>
      <c r="P13" s="60">
        <v>70</v>
      </c>
      <c r="Q13" s="50">
        <f aca="true" t="shared" si="8" ref="Q13:Q28">O13-P13</f>
        <v>-43</v>
      </c>
      <c r="R13" s="60">
        <v>3494</v>
      </c>
      <c r="S13" s="60">
        <v>79</v>
      </c>
      <c r="T13" s="60">
        <v>97</v>
      </c>
      <c r="U13" s="50">
        <f aca="true" t="shared" si="9" ref="U13:U28">S13-T13</f>
        <v>-18</v>
      </c>
      <c r="V13" s="60">
        <v>280</v>
      </c>
      <c r="W13" s="60">
        <v>6</v>
      </c>
      <c r="X13" s="60">
        <v>17</v>
      </c>
      <c r="Y13" s="50">
        <f aca="true" t="shared" si="10" ref="Y13:Y28">W13-X13</f>
        <v>-11</v>
      </c>
      <c r="Z13" s="61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</row>
    <row r="14" spans="1:47" ht="12.75">
      <c r="A14" s="53" t="s">
        <v>22</v>
      </c>
      <c r="B14" s="60">
        <v>1607</v>
      </c>
      <c r="C14" s="60">
        <v>13</v>
      </c>
      <c r="D14" s="60">
        <v>14</v>
      </c>
      <c r="E14" s="50">
        <f t="shared" si="5"/>
        <v>-1</v>
      </c>
      <c r="F14" s="60">
        <v>6054</v>
      </c>
      <c r="G14" s="60">
        <v>104</v>
      </c>
      <c r="H14" s="60">
        <v>76</v>
      </c>
      <c r="I14" s="50">
        <f t="shared" si="6"/>
        <v>28</v>
      </c>
      <c r="J14" s="60">
        <v>7093</v>
      </c>
      <c r="K14" s="60">
        <v>127</v>
      </c>
      <c r="L14" s="60">
        <v>74</v>
      </c>
      <c r="M14" s="50">
        <f t="shared" si="7"/>
        <v>53</v>
      </c>
      <c r="N14" s="60">
        <v>2705</v>
      </c>
      <c r="O14" s="60">
        <v>18</v>
      </c>
      <c r="P14" s="60">
        <v>45</v>
      </c>
      <c r="Q14" s="50">
        <f t="shared" si="8"/>
        <v>-27</v>
      </c>
      <c r="R14" s="60">
        <v>3503</v>
      </c>
      <c r="S14" s="60">
        <v>55</v>
      </c>
      <c r="T14" s="60">
        <v>60</v>
      </c>
      <c r="U14" s="50">
        <f t="shared" si="9"/>
        <v>-5</v>
      </c>
      <c r="V14" s="60">
        <v>289</v>
      </c>
      <c r="W14" s="60">
        <v>7</v>
      </c>
      <c r="X14" s="60">
        <v>4</v>
      </c>
      <c r="Y14" s="50">
        <f t="shared" si="10"/>
        <v>3</v>
      </c>
      <c r="Z14" s="61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</row>
    <row r="15" spans="1:47" ht="12.75">
      <c r="A15" s="53" t="s">
        <v>23</v>
      </c>
      <c r="B15" s="60">
        <v>1619</v>
      </c>
      <c r="C15" s="60">
        <v>9</v>
      </c>
      <c r="D15" s="60">
        <v>10</v>
      </c>
      <c r="E15" s="50">
        <f t="shared" si="5"/>
        <v>-1</v>
      </c>
      <c r="F15" s="60">
        <v>6045</v>
      </c>
      <c r="G15" s="60">
        <v>68</v>
      </c>
      <c r="H15" s="60">
        <v>89</v>
      </c>
      <c r="I15" s="50">
        <f t="shared" si="6"/>
        <v>-21</v>
      </c>
      <c r="J15" s="60">
        <v>7111</v>
      </c>
      <c r="K15" s="60">
        <v>113</v>
      </c>
      <c r="L15" s="60">
        <v>127</v>
      </c>
      <c r="M15" s="50">
        <f t="shared" si="7"/>
        <v>-14</v>
      </c>
      <c r="N15" s="60">
        <v>2694</v>
      </c>
      <c r="O15" s="60">
        <v>15</v>
      </c>
      <c r="P15" s="60">
        <v>33</v>
      </c>
      <c r="Q15" s="50">
        <f t="shared" si="8"/>
        <v>-18</v>
      </c>
      <c r="R15" s="60">
        <v>3523</v>
      </c>
      <c r="S15" s="60">
        <v>61</v>
      </c>
      <c r="T15" s="60">
        <v>57</v>
      </c>
      <c r="U15" s="50">
        <f t="shared" si="9"/>
        <v>4</v>
      </c>
      <c r="V15" s="60">
        <v>289</v>
      </c>
      <c r="W15" s="60">
        <v>6</v>
      </c>
      <c r="X15" s="60">
        <v>8</v>
      </c>
      <c r="Y15" s="50">
        <f t="shared" si="10"/>
        <v>-2</v>
      </c>
      <c r="Z15" s="61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  <row r="16" spans="1:47" ht="12.75">
      <c r="A16" s="53" t="s">
        <v>24</v>
      </c>
      <c r="B16" s="60">
        <v>1617</v>
      </c>
      <c r="C16" s="60">
        <v>14</v>
      </c>
      <c r="D16" s="60">
        <v>15</v>
      </c>
      <c r="E16" s="50">
        <f t="shared" si="5"/>
        <v>-1</v>
      </c>
      <c r="F16" s="60">
        <v>6045</v>
      </c>
      <c r="G16" s="60">
        <v>93</v>
      </c>
      <c r="H16" s="60">
        <v>127</v>
      </c>
      <c r="I16" s="50">
        <f t="shared" si="6"/>
        <v>-34</v>
      </c>
      <c r="J16" s="60">
        <v>7091</v>
      </c>
      <c r="K16" s="60">
        <v>102</v>
      </c>
      <c r="L16" s="60">
        <v>183</v>
      </c>
      <c r="M16" s="50">
        <f t="shared" si="7"/>
        <v>-81</v>
      </c>
      <c r="N16" s="60">
        <v>2668</v>
      </c>
      <c r="O16" s="60">
        <v>20</v>
      </c>
      <c r="P16" s="60">
        <v>55</v>
      </c>
      <c r="Q16" s="50">
        <f t="shared" si="8"/>
        <v>-35</v>
      </c>
      <c r="R16" s="60">
        <v>3507</v>
      </c>
      <c r="S16" s="60">
        <v>77</v>
      </c>
      <c r="T16" s="60">
        <v>121</v>
      </c>
      <c r="U16" s="50">
        <f t="shared" si="9"/>
        <v>-44</v>
      </c>
      <c r="V16" s="60">
        <v>291</v>
      </c>
      <c r="W16" s="60">
        <v>6</v>
      </c>
      <c r="X16" s="60">
        <v>9</v>
      </c>
      <c r="Y16" s="50">
        <f t="shared" si="10"/>
        <v>-3</v>
      </c>
      <c r="Z16" s="61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</row>
    <row r="17" spans="1:47" ht="12.75">
      <c r="A17" s="53" t="s">
        <v>82</v>
      </c>
      <c r="B17" s="60">
        <v>1618</v>
      </c>
      <c r="C17" s="60">
        <v>31</v>
      </c>
      <c r="D17" s="60">
        <v>39</v>
      </c>
      <c r="E17" s="50">
        <f t="shared" si="5"/>
        <v>-8</v>
      </c>
      <c r="F17" s="60">
        <v>5992</v>
      </c>
      <c r="G17" s="60">
        <v>133</v>
      </c>
      <c r="H17" s="60">
        <v>242</v>
      </c>
      <c r="I17" s="50">
        <f t="shared" si="6"/>
        <v>-109</v>
      </c>
      <c r="J17" s="60">
        <v>7065</v>
      </c>
      <c r="K17" s="60">
        <v>161</v>
      </c>
      <c r="L17" s="60">
        <v>246</v>
      </c>
      <c r="M17" s="50">
        <f t="shared" si="7"/>
        <v>-85</v>
      </c>
      <c r="N17" s="60">
        <v>2632</v>
      </c>
      <c r="O17" s="60">
        <v>17</v>
      </c>
      <c r="P17" s="60">
        <v>61</v>
      </c>
      <c r="Q17" s="50">
        <f t="shared" si="8"/>
        <v>-44</v>
      </c>
      <c r="R17" s="60">
        <v>3502</v>
      </c>
      <c r="S17" s="60">
        <v>60</v>
      </c>
      <c r="T17" s="60">
        <v>145</v>
      </c>
      <c r="U17" s="50">
        <f t="shared" si="9"/>
        <v>-85</v>
      </c>
      <c r="V17" s="60">
        <v>293</v>
      </c>
      <c r="W17" s="60">
        <v>4</v>
      </c>
      <c r="X17" s="60">
        <v>12</v>
      </c>
      <c r="Y17" s="50">
        <f t="shared" si="10"/>
        <v>-8</v>
      </c>
      <c r="Z17" s="61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</row>
    <row r="18" spans="1:47" ht="12.75">
      <c r="A18" s="53" t="s">
        <v>22</v>
      </c>
      <c r="B18" s="60">
        <v>1636</v>
      </c>
      <c r="C18" s="60">
        <v>25</v>
      </c>
      <c r="D18" s="60">
        <v>9</v>
      </c>
      <c r="E18" s="50">
        <f t="shared" si="5"/>
        <v>16</v>
      </c>
      <c r="F18" s="60">
        <v>6066</v>
      </c>
      <c r="G18" s="60">
        <v>95</v>
      </c>
      <c r="H18" s="60">
        <v>58</v>
      </c>
      <c r="I18" s="50">
        <f t="shared" si="6"/>
        <v>37</v>
      </c>
      <c r="J18" s="60">
        <v>7129</v>
      </c>
      <c r="K18" s="60">
        <v>107</v>
      </c>
      <c r="L18" s="60">
        <v>75</v>
      </c>
      <c r="M18" s="50">
        <f t="shared" si="7"/>
        <v>32</v>
      </c>
      <c r="N18" s="60">
        <v>2638</v>
      </c>
      <c r="O18" s="60">
        <v>21</v>
      </c>
      <c r="P18" s="60">
        <v>28</v>
      </c>
      <c r="Q18" s="50">
        <f t="shared" si="8"/>
        <v>-7</v>
      </c>
      <c r="R18" s="60">
        <v>3561</v>
      </c>
      <c r="S18" s="60">
        <v>77</v>
      </c>
      <c r="T18" s="60">
        <v>47</v>
      </c>
      <c r="U18" s="50">
        <f t="shared" si="9"/>
        <v>30</v>
      </c>
      <c r="V18" s="60">
        <v>296</v>
      </c>
      <c r="W18" s="60">
        <v>5</v>
      </c>
      <c r="X18" s="60">
        <v>5</v>
      </c>
      <c r="Y18" s="50">
        <f t="shared" si="10"/>
        <v>0</v>
      </c>
      <c r="Z18" s="61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</row>
    <row r="19" spans="1:47" ht="12.75">
      <c r="A19" s="53" t="s">
        <v>23</v>
      </c>
      <c r="B19" s="60">
        <v>1643</v>
      </c>
      <c r="C19" s="60">
        <v>12</v>
      </c>
      <c r="D19" s="60">
        <v>17</v>
      </c>
      <c r="E19" s="50">
        <f t="shared" si="5"/>
        <v>-5</v>
      </c>
      <c r="F19" s="60">
        <v>6124</v>
      </c>
      <c r="G19" s="60">
        <v>107</v>
      </c>
      <c r="H19" s="60">
        <v>77</v>
      </c>
      <c r="I19" s="50">
        <f t="shared" si="6"/>
        <v>30</v>
      </c>
      <c r="J19" s="60">
        <v>7121</v>
      </c>
      <c r="K19" s="60">
        <v>97</v>
      </c>
      <c r="L19" s="60">
        <v>150</v>
      </c>
      <c r="M19" s="50">
        <f t="shared" si="7"/>
        <v>-53</v>
      </c>
      <c r="N19" s="60">
        <v>2625</v>
      </c>
      <c r="O19" s="60">
        <v>8</v>
      </c>
      <c r="P19" s="60">
        <v>29</v>
      </c>
      <c r="Q19" s="50">
        <f t="shared" si="8"/>
        <v>-21</v>
      </c>
      <c r="R19" s="60">
        <v>3587</v>
      </c>
      <c r="S19" s="60">
        <v>52</v>
      </c>
      <c r="T19" s="60">
        <v>53</v>
      </c>
      <c r="U19" s="50">
        <f t="shared" si="9"/>
        <v>-1</v>
      </c>
      <c r="V19" s="60">
        <v>296</v>
      </c>
      <c r="W19" s="60">
        <v>3</v>
      </c>
      <c r="X19" s="60">
        <v>3</v>
      </c>
      <c r="Y19" s="50">
        <f t="shared" si="10"/>
        <v>0</v>
      </c>
      <c r="Z19" s="61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</row>
    <row r="20" spans="1:47" ht="12.75">
      <c r="A20" s="53" t="s">
        <v>24</v>
      </c>
      <c r="B20" s="60">
        <v>1644</v>
      </c>
      <c r="C20" s="60">
        <v>20</v>
      </c>
      <c r="D20" s="60">
        <v>21</v>
      </c>
      <c r="E20" s="50">
        <f t="shared" si="5"/>
        <v>-1</v>
      </c>
      <c r="F20" s="60">
        <v>6110</v>
      </c>
      <c r="G20" s="60">
        <v>86</v>
      </c>
      <c r="H20" s="60">
        <v>101</v>
      </c>
      <c r="I20" s="50">
        <f t="shared" si="6"/>
        <v>-15</v>
      </c>
      <c r="J20" s="60">
        <v>7143</v>
      </c>
      <c r="K20" s="60">
        <v>92</v>
      </c>
      <c r="L20" s="60">
        <v>151</v>
      </c>
      <c r="M20" s="50">
        <f t="shared" si="7"/>
        <v>-59</v>
      </c>
      <c r="N20" s="60">
        <v>2605</v>
      </c>
      <c r="O20" s="60">
        <v>12</v>
      </c>
      <c r="P20" s="60">
        <v>41</v>
      </c>
      <c r="Q20" s="50">
        <f t="shared" si="8"/>
        <v>-29</v>
      </c>
      <c r="R20" s="60">
        <v>3602</v>
      </c>
      <c r="S20" s="60">
        <v>50</v>
      </c>
      <c r="T20" s="60">
        <v>85</v>
      </c>
      <c r="U20" s="50">
        <f t="shared" si="9"/>
        <v>-35</v>
      </c>
      <c r="V20" s="60">
        <v>289</v>
      </c>
      <c r="W20" s="60">
        <v>4</v>
      </c>
      <c r="X20" s="60">
        <v>10</v>
      </c>
      <c r="Y20" s="50">
        <f t="shared" si="10"/>
        <v>-6</v>
      </c>
      <c r="Z20" s="61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</row>
    <row r="21" spans="1:47" ht="12.75">
      <c r="A21" s="53" t="s">
        <v>84</v>
      </c>
      <c r="B21" s="60">
        <v>1650</v>
      </c>
      <c r="C21" s="60">
        <v>28</v>
      </c>
      <c r="D21" s="60">
        <v>29</v>
      </c>
      <c r="E21" s="50">
        <f t="shared" si="5"/>
        <v>-1</v>
      </c>
      <c r="F21" s="60">
        <v>6109</v>
      </c>
      <c r="G21" s="60">
        <v>147</v>
      </c>
      <c r="H21" s="60">
        <v>173</v>
      </c>
      <c r="I21" s="50">
        <f t="shared" si="6"/>
        <v>-26</v>
      </c>
      <c r="J21" s="60">
        <v>7145</v>
      </c>
      <c r="K21" s="60">
        <v>154</v>
      </c>
      <c r="L21" s="60">
        <v>186</v>
      </c>
      <c r="M21" s="50">
        <f t="shared" si="7"/>
        <v>-32</v>
      </c>
      <c r="N21" s="60">
        <v>2573</v>
      </c>
      <c r="O21" s="60">
        <v>11</v>
      </c>
      <c r="P21" s="60">
        <v>57</v>
      </c>
      <c r="Q21" s="50">
        <f t="shared" si="8"/>
        <v>-46</v>
      </c>
      <c r="R21" s="60">
        <v>3588</v>
      </c>
      <c r="S21" s="60">
        <v>74</v>
      </c>
      <c r="T21" s="60">
        <v>105</v>
      </c>
      <c r="U21" s="50">
        <f t="shared" si="9"/>
        <v>-31</v>
      </c>
      <c r="V21" s="60">
        <v>283</v>
      </c>
      <c r="W21" s="60">
        <v>6</v>
      </c>
      <c r="X21" s="60">
        <v>16</v>
      </c>
      <c r="Y21" s="50">
        <f t="shared" si="10"/>
        <v>-10</v>
      </c>
      <c r="Z21" s="61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</row>
    <row r="22" spans="1:47" ht="12.75">
      <c r="A22" s="53" t="s">
        <v>22</v>
      </c>
      <c r="B22" s="60">
        <v>1659</v>
      </c>
      <c r="C22" s="60">
        <v>18</v>
      </c>
      <c r="D22" s="60">
        <v>9</v>
      </c>
      <c r="E22" s="50">
        <f t="shared" si="5"/>
        <v>9</v>
      </c>
      <c r="F22" s="60">
        <v>6168</v>
      </c>
      <c r="G22" s="60">
        <v>91</v>
      </c>
      <c r="H22" s="60">
        <v>64</v>
      </c>
      <c r="I22" s="50">
        <f t="shared" si="6"/>
        <v>27</v>
      </c>
      <c r="J22" s="60">
        <v>7181</v>
      </c>
      <c r="K22" s="60">
        <v>72</v>
      </c>
      <c r="L22" s="60">
        <v>77</v>
      </c>
      <c r="M22" s="50">
        <f t="shared" si="7"/>
        <v>-5</v>
      </c>
      <c r="N22" s="60">
        <v>2562</v>
      </c>
      <c r="O22" s="60">
        <v>8</v>
      </c>
      <c r="P22" s="60">
        <v>28</v>
      </c>
      <c r="Q22" s="50">
        <f t="shared" si="8"/>
        <v>-20</v>
      </c>
      <c r="R22" s="60">
        <v>3612</v>
      </c>
      <c r="S22" s="60">
        <v>41</v>
      </c>
      <c r="T22" s="60">
        <v>50</v>
      </c>
      <c r="U22" s="50">
        <f t="shared" si="9"/>
        <v>-9</v>
      </c>
      <c r="V22" s="60">
        <v>289</v>
      </c>
      <c r="W22" s="60">
        <v>3</v>
      </c>
      <c r="X22" s="60">
        <v>1</v>
      </c>
      <c r="Y22" s="50">
        <f t="shared" si="10"/>
        <v>2</v>
      </c>
      <c r="Z22" s="61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</row>
    <row r="23" spans="1:47" ht="12.75">
      <c r="A23" s="53" t="s">
        <v>23</v>
      </c>
      <c r="B23" s="60">
        <v>1679</v>
      </c>
      <c r="C23" s="60">
        <v>20</v>
      </c>
      <c r="D23" s="60">
        <v>10</v>
      </c>
      <c r="E23" s="50">
        <f t="shared" si="5"/>
        <v>10</v>
      </c>
      <c r="F23" s="60">
        <v>6174</v>
      </c>
      <c r="G23" s="60">
        <v>55</v>
      </c>
      <c r="H23" s="60">
        <v>60</v>
      </c>
      <c r="I23" s="50">
        <f t="shared" si="6"/>
        <v>-5</v>
      </c>
      <c r="J23" s="60">
        <v>7181</v>
      </c>
      <c r="K23" s="60">
        <v>68</v>
      </c>
      <c r="L23" s="60">
        <v>114</v>
      </c>
      <c r="M23" s="50">
        <f t="shared" si="7"/>
        <v>-46</v>
      </c>
      <c r="N23" s="60">
        <v>2559</v>
      </c>
      <c r="O23" s="60">
        <v>6</v>
      </c>
      <c r="P23" s="60">
        <v>26</v>
      </c>
      <c r="Q23" s="50">
        <f t="shared" si="8"/>
        <v>-20</v>
      </c>
      <c r="R23" s="60">
        <v>3628</v>
      </c>
      <c r="S23" s="60">
        <v>43</v>
      </c>
      <c r="T23" s="60">
        <v>56</v>
      </c>
      <c r="U23" s="50">
        <f t="shared" si="9"/>
        <v>-13</v>
      </c>
      <c r="V23" s="60">
        <v>291</v>
      </c>
      <c r="W23" s="60">
        <v>3</v>
      </c>
      <c r="X23" s="60">
        <v>4</v>
      </c>
      <c r="Y23" s="50">
        <f t="shared" si="10"/>
        <v>-1</v>
      </c>
      <c r="Z23" s="61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</row>
    <row r="24" spans="1:47" ht="12.75">
      <c r="A24" s="53" t="s">
        <v>24</v>
      </c>
      <c r="B24" s="60">
        <v>1675</v>
      </c>
      <c r="C24" s="60">
        <v>10</v>
      </c>
      <c r="D24" s="60">
        <v>17</v>
      </c>
      <c r="E24" s="50">
        <f t="shared" si="5"/>
        <v>-7</v>
      </c>
      <c r="F24" s="60">
        <v>6160</v>
      </c>
      <c r="G24" s="60">
        <v>65</v>
      </c>
      <c r="H24" s="60">
        <v>85</v>
      </c>
      <c r="I24" s="50">
        <f t="shared" si="6"/>
        <v>-20</v>
      </c>
      <c r="J24" s="60">
        <v>7193</v>
      </c>
      <c r="K24" s="60">
        <v>89</v>
      </c>
      <c r="L24" s="60">
        <v>138</v>
      </c>
      <c r="M24" s="50">
        <f t="shared" si="7"/>
        <v>-49</v>
      </c>
      <c r="N24" s="60">
        <v>2558</v>
      </c>
      <c r="O24" s="60">
        <v>10</v>
      </c>
      <c r="P24" s="60">
        <v>31</v>
      </c>
      <c r="Q24" s="50">
        <f t="shared" si="8"/>
        <v>-21</v>
      </c>
      <c r="R24" s="60">
        <v>3635</v>
      </c>
      <c r="S24" s="60">
        <v>50</v>
      </c>
      <c r="T24" s="60">
        <v>103</v>
      </c>
      <c r="U24" s="50">
        <f t="shared" si="9"/>
        <v>-53</v>
      </c>
      <c r="V24" s="60">
        <v>292</v>
      </c>
      <c r="W24" s="60">
        <v>3</v>
      </c>
      <c r="X24" s="60">
        <v>3</v>
      </c>
      <c r="Y24" s="50">
        <f t="shared" si="10"/>
        <v>0</v>
      </c>
      <c r="Z24" s="61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</row>
    <row r="25" spans="1:47" ht="12.75">
      <c r="A25" s="53" t="s">
        <v>86</v>
      </c>
      <c r="B25" s="60">
        <v>1669</v>
      </c>
      <c r="C25" s="60">
        <v>27</v>
      </c>
      <c r="D25" s="60">
        <v>40</v>
      </c>
      <c r="E25" s="50">
        <f t="shared" si="5"/>
        <v>-13</v>
      </c>
      <c r="F25" s="60">
        <v>6112</v>
      </c>
      <c r="G25" s="60">
        <v>131</v>
      </c>
      <c r="H25" s="60">
        <v>200</v>
      </c>
      <c r="I25" s="50">
        <f t="shared" si="6"/>
        <v>-69</v>
      </c>
      <c r="J25" s="60">
        <v>7112</v>
      </c>
      <c r="K25" s="60">
        <v>118</v>
      </c>
      <c r="L25" s="60">
        <v>258</v>
      </c>
      <c r="M25" s="50">
        <f t="shared" si="7"/>
        <v>-140</v>
      </c>
      <c r="N25" s="60">
        <v>2554</v>
      </c>
      <c r="O25" s="60">
        <v>29</v>
      </c>
      <c r="P25" s="60">
        <v>57</v>
      </c>
      <c r="Q25" s="50">
        <f t="shared" si="8"/>
        <v>-28</v>
      </c>
      <c r="R25" s="60">
        <v>3609</v>
      </c>
      <c r="S25" s="60">
        <v>65</v>
      </c>
      <c r="T25" s="60">
        <v>150</v>
      </c>
      <c r="U25" s="50">
        <f t="shared" si="9"/>
        <v>-85</v>
      </c>
      <c r="V25" s="60">
        <f>97+84+17+91</f>
        <v>289</v>
      </c>
      <c r="W25" s="60">
        <v>9</v>
      </c>
      <c r="X25" s="60">
        <v>6</v>
      </c>
      <c r="Y25" s="50">
        <f t="shared" si="10"/>
        <v>3</v>
      </c>
      <c r="Z25" s="61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</row>
    <row r="26" spans="1:47" ht="12.75">
      <c r="A26" s="53" t="s">
        <v>22</v>
      </c>
      <c r="B26" s="60">
        <v>1680</v>
      </c>
      <c r="C26" s="60">
        <v>20</v>
      </c>
      <c r="D26" s="60">
        <v>13</v>
      </c>
      <c r="E26" s="50">
        <f t="shared" si="5"/>
        <v>7</v>
      </c>
      <c r="F26" s="60">
        <v>6147</v>
      </c>
      <c r="G26" s="60">
        <v>78</v>
      </c>
      <c r="H26" s="60">
        <v>86</v>
      </c>
      <c r="I26" s="50">
        <f t="shared" si="6"/>
        <v>-8</v>
      </c>
      <c r="J26" s="60">
        <v>7125</v>
      </c>
      <c r="K26" s="60">
        <v>97</v>
      </c>
      <c r="L26" s="60">
        <v>117</v>
      </c>
      <c r="M26" s="50">
        <f t="shared" si="7"/>
        <v>-20</v>
      </c>
      <c r="N26" s="60">
        <v>2556</v>
      </c>
      <c r="O26" s="60">
        <v>21</v>
      </c>
      <c r="P26" s="60">
        <v>28</v>
      </c>
      <c r="Q26" s="50">
        <f t="shared" si="8"/>
        <v>-7</v>
      </c>
      <c r="R26" s="60">
        <v>3646</v>
      </c>
      <c r="S26" s="60">
        <v>56</v>
      </c>
      <c r="T26" s="60">
        <v>64</v>
      </c>
      <c r="U26" s="50">
        <f t="shared" si="9"/>
        <v>-8</v>
      </c>
      <c r="V26" s="60">
        <f>99+86+17+88</f>
        <v>290</v>
      </c>
      <c r="W26" s="60">
        <v>2</v>
      </c>
      <c r="X26" s="60">
        <v>3</v>
      </c>
      <c r="Y26" s="50">
        <f t="shared" si="10"/>
        <v>-1</v>
      </c>
      <c r="Z26" s="61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</row>
    <row r="27" spans="1:47" ht="12.75">
      <c r="A27" s="53" t="s">
        <v>23</v>
      </c>
      <c r="B27" s="60">
        <v>1685</v>
      </c>
      <c r="C27" s="60">
        <v>14</v>
      </c>
      <c r="D27" s="60">
        <v>11</v>
      </c>
      <c r="E27" s="50">
        <f t="shared" si="5"/>
        <v>3</v>
      </c>
      <c r="F27" s="60">
        <v>6146</v>
      </c>
      <c r="G27" s="60">
        <v>48</v>
      </c>
      <c r="H27" s="60">
        <v>68</v>
      </c>
      <c r="I27" s="50">
        <f t="shared" si="6"/>
        <v>-20</v>
      </c>
      <c r="J27" s="60">
        <v>7096</v>
      </c>
      <c r="K27" s="60">
        <v>54</v>
      </c>
      <c r="L27" s="60">
        <v>100</v>
      </c>
      <c r="M27" s="50">
        <f t="shared" si="7"/>
        <v>-46</v>
      </c>
      <c r="N27" s="60">
        <v>2542</v>
      </c>
      <c r="O27" s="60">
        <v>7</v>
      </c>
      <c r="P27" s="60">
        <v>20</v>
      </c>
      <c r="Q27" s="50">
        <f t="shared" si="8"/>
        <v>-13</v>
      </c>
      <c r="R27" s="60">
        <v>3652</v>
      </c>
      <c r="S27" s="60">
        <v>41</v>
      </c>
      <c r="T27" s="60">
        <v>39</v>
      </c>
      <c r="U27" s="50">
        <f t="shared" si="9"/>
        <v>2</v>
      </c>
      <c r="V27" s="60">
        <f>100+87+17+89</f>
        <v>293</v>
      </c>
      <c r="W27" s="60">
        <v>4</v>
      </c>
      <c r="X27" s="60">
        <v>2</v>
      </c>
      <c r="Y27" s="50">
        <f t="shared" si="10"/>
        <v>2</v>
      </c>
      <c r="Z27" s="61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</row>
    <row r="28" spans="1:47" ht="12.75">
      <c r="A28" s="53" t="s">
        <v>24</v>
      </c>
      <c r="B28" s="60">
        <v>1690</v>
      </c>
      <c r="C28" s="60">
        <v>14</v>
      </c>
      <c r="D28" s="60">
        <v>17</v>
      </c>
      <c r="E28" s="50">
        <f t="shared" si="5"/>
        <v>-3</v>
      </c>
      <c r="F28" s="60">
        <v>6130</v>
      </c>
      <c r="G28" s="60">
        <v>69</v>
      </c>
      <c r="H28" s="60">
        <v>104</v>
      </c>
      <c r="I28" s="50">
        <f t="shared" si="6"/>
        <v>-35</v>
      </c>
      <c r="J28" s="60">
        <v>7084</v>
      </c>
      <c r="K28" s="60">
        <v>63</v>
      </c>
      <c r="L28" s="60">
        <v>134</v>
      </c>
      <c r="M28" s="50">
        <f t="shared" si="7"/>
        <v>-71</v>
      </c>
      <c r="N28" s="60">
        <v>2541</v>
      </c>
      <c r="O28" s="60">
        <v>10</v>
      </c>
      <c r="P28" s="60">
        <v>34</v>
      </c>
      <c r="Q28" s="50">
        <f t="shared" si="8"/>
        <v>-24</v>
      </c>
      <c r="R28" s="60">
        <v>3653</v>
      </c>
      <c r="S28" s="60">
        <v>38</v>
      </c>
      <c r="T28" s="60">
        <v>86</v>
      </c>
      <c r="U28" s="50">
        <f t="shared" si="9"/>
        <v>-48</v>
      </c>
      <c r="V28" s="60">
        <f>98+89+17+90</f>
        <v>294</v>
      </c>
      <c r="W28" s="60">
        <v>4</v>
      </c>
      <c r="X28" s="60">
        <v>6</v>
      </c>
      <c r="Y28" s="50">
        <f t="shared" si="10"/>
        <v>-2</v>
      </c>
      <c r="Z28" s="61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</row>
    <row r="29" spans="1:47" ht="12.75">
      <c r="A29" s="53" t="s">
        <v>93</v>
      </c>
      <c r="B29" s="60">
        <v>1689</v>
      </c>
      <c r="C29" s="60">
        <v>42</v>
      </c>
      <c r="D29" s="60">
        <v>56</v>
      </c>
      <c r="E29" s="50">
        <f aca="true" t="shared" si="11" ref="E29:E36">C29-D29</f>
        <v>-14</v>
      </c>
      <c r="F29" s="60">
        <v>6114</v>
      </c>
      <c r="G29" s="60">
        <v>149</v>
      </c>
      <c r="H29" s="60">
        <v>209</v>
      </c>
      <c r="I29" s="50">
        <f aca="true" t="shared" si="12" ref="I29:I36">G29-H29</f>
        <v>-60</v>
      </c>
      <c r="J29" s="60">
        <v>7025</v>
      </c>
      <c r="K29" s="60">
        <v>130</v>
      </c>
      <c r="L29" s="60">
        <v>244</v>
      </c>
      <c r="M29" s="50">
        <f aca="true" t="shared" si="13" ref="M29:M36">K29-L29</f>
        <v>-114</v>
      </c>
      <c r="N29" s="60">
        <v>2506</v>
      </c>
      <c r="O29" s="60">
        <v>15</v>
      </c>
      <c r="P29" s="60">
        <v>48</v>
      </c>
      <c r="Q29" s="50">
        <f aca="true" t="shared" si="14" ref="Q29:Q36">O29-P29</f>
        <v>-33</v>
      </c>
      <c r="R29" s="60">
        <v>3662</v>
      </c>
      <c r="S29" s="60">
        <v>70</v>
      </c>
      <c r="T29" s="60">
        <v>121</v>
      </c>
      <c r="U29" s="50">
        <f aca="true" t="shared" si="15" ref="U29:U36">S29-T29</f>
        <v>-51</v>
      </c>
      <c r="V29" s="60">
        <v>296</v>
      </c>
      <c r="W29" s="60">
        <v>8</v>
      </c>
      <c r="X29" s="60">
        <v>9</v>
      </c>
      <c r="Y29" s="50">
        <f aca="true" t="shared" si="16" ref="Y29:Y36">W29-X29</f>
        <v>-1</v>
      </c>
      <c r="Z29" s="61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</row>
    <row r="30" spans="1:47" ht="12.75">
      <c r="A30" s="53" t="s">
        <v>22</v>
      </c>
      <c r="B30" s="60">
        <v>1708</v>
      </c>
      <c r="C30" s="60">
        <v>21</v>
      </c>
      <c r="D30" s="60">
        <v>9</v>
      </c>
      <c r="E30" s="50">
        <f t="shared" si="11"/>
        <v>12</v>
      </c>
      <c r="F30" s="60">
        <v>6174</v>
      </c>
      <c r="G30" s="60">
        <v>100</v>
      </c>
      <c r="H30" s="60">
        <v>85</v>
      </c>
      <c r="I30" s="50">
        <f t="shared" si="12"/>
        <v>15</v>
      </c>
      <c r="J30" s="60">
        <v>7053</v>
      </c>
      <c r="K30" s="60">
        <v>73</v>
      </c>
      <c r="L30" s="60">
        <v>105</v>
      </c>
      <c r="M30" s="50">
        <f t="shared" si="13"/>
        <v>-32</v>
      </c>
      <c r="N30" s="60">
        <v>2470</v>
      </c>
      <c r="O30" s="60">
        <v>18</v>
      </c>
      <c r="P30" s="60">
        <v>34</v>
      </c>
      <c r="Q30" s="50">
        <f t="shared" si="14"/>
        <v>-16</v>
      </c>
      <c r="R30" s="60">
        <v>3716</v>
      </c>
      <c r="S30" s="60">
        <v>63</v>
      </c>
      <c r="T30" s="60">
        <v>54</v>
      </c>
      <c r="U30" s="50">
        <f t="shared" si="15"/>
        <v>9</v>
      </c>
      <c r="V30" s="60">
        <v>292</v>
      </c>
      <c r="W30" s="60">
        <v>4</v>
      </c>
      <c r="X30" s="60">
        <v>5</v>
      </c>
      <c r="Y30" s="50">
        <f t="shared" si="16"/>
        <v>-1</v>
      </c>
      <c r="Z30" s="61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</row>
    <row r="31" spans="1:47" ht="12.75">
      <c r="A31" s="53" t="s">
        <v>23</v>
      </c>
      <c r="B31" s="60">
        <v>1707</v>
      </c>
      <c r="C31" s="60">
        <v>9</v>
      </c>
      <c r="D31" s="60">
        <v>13</v>
      </c>
      <c r="E31" s="50">
        <f t="shared" si="11"/>
        <v>-4</v>
      </c>
      <c r="F31" s="60">
        <v>6207</v>
      </c>
      <c r="G31" s="60">
        <v>95</v>
      </c>
      <c r="H31" s="60">
        <v>74</v>
      </c>
      <c r="I31" s="50">
        <f t="shared" si="12"/>
        <v>21</v>
      </c>
      <c r="J31" s="60">
        <v>7051</v>
      </c>
      <c r="K31" s="60">
        <v>72</v>
      </c>
      <c r="L31" s="60">
        <v>97</v>
      </c>
      <c r="M31" s="50">
        <f t="shared" si="13"/>
        <v>-25</v>
      </c>
      <c r="N31" s="60">
        <v>2457</v>
      </c>
      <c r="O31" s="60">
        <v>11</v>
      </c>
      <c r="P31" s="60">
        <v>15</v>
      </c>
      <c r="Q31" s="50">
        <f t="shared" si="14"/>
        <v>-4</v>
      </c>
      <c r="R31" s="60">
        <v>3728</v>
      </c>
      <c r="S31" s="60">
        <v>58</v>
      </c>
      <c r="T31" s="60">
        <v>57</v>
      </c>
      <c r="U31" s="50">
        <f t="shared" si="15"/>
        <v>1</v>
      </c>
      <c r="V31" s="60">
        <v>291</v>
      </c>
      <c r="W31" s="60">
        <v>0</v>
      </c>
      <c r="X31" s="60">
        <v>2</v>
      </c>
      <c r="Y31" s="50">
        <f t="shared" si="16"/>
        <v>-2</v>
      </c>
      <c r="Z31" s="61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</row>
    <row r="32" spans="1:47" ht="12.75">
      <c r="A32" s="53" t="s">
        <v>24</v>
      </c>
      <c r="B32" s="60">
        <v>1693</v>
      </c>
      <c r="C32" s="60">
        <v>14</v>
      </c>
      <c r="D32" s="60">
        <v>30</v>
      </c>
      <c r="E32" s="50">
        <f t="shared" si="11"/>
        <v>-16</v>
      </c>
      <c r="F32" s="60">
        <v>6250</v>
      </c>
      <c r="G32" s="60">
        <v>103</v>
      </c>
      <c r="H32" s="60">
        <v>108</v>
      </c>
      <c r="I32" s="50">
        <f t="shared" si="12"/>
        <v>-5</v>
      </c>
      <c r="J32" s="60">
        <v>7022</v>
      </c>
      <c r="K32" s="60">
        <v>75</v>
      </c>
      <c r="L32" s="60">
        <v>169</v>
      </c>
      <c r="M32" s="50">
        <f t="shared" si="13"/>
        <v>-94</v>
      </c>
      <c r="N32" s="60">
        <v>2422</v>
      </c>
      <c r="O32" s="60">
        <v>14</v>
      </c>
      <c r="P32" s="60">
        <v>55</v>
      </c>
      <c r="Q32" s="50">
        <f t="shared" si="14"/>
        <v>-41</v>
      </c>
      <c r="R32" s="60">
        <v>3709</v>
      </c>
      <c r="S32" s="60">
        <v>55</v>
      </c>
      <c r="T32" s="60">
        <v>105</v>
      </c>
      <c r="U32" s="50">
        <f t="shared" si="15"/>
        <v>-50</v>
      </c>
      <c r="V32" s="60">
        <v>286</v>
      </c>
      <c r="W32" s="60">
        <v>4</v>
      </c>
      <c r="X32" s="60">
        <v>4</v>
      </c>
      <c r="Y32" s="50">
        <f t="shared" si="16"/>
        <v>0</v>
      </c>
      <c r="Z32" s="61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</row>
    <row r="33" spans="1:47" ht="12.75">
      <c r="A33" s="53" t="s">
        <v>94</v>
      </c>
      <c r="B33" s="60">
        <v>1702</v>
      </c>
      <c r="C33" s="60">
        <v>31</v>
      </c>
      <c r="D33" s="60">
        <v>31</v>
      </c>
      <c r="E33" s="50">
        <f t="shared" si="11"/>
        <v>0</v>
      </c>
      <c r="F33" s="60">
        <v>6229</v>
      </c>
      <c r="G33" s="60">
        <v>133</v>
      </c>
      <c r="H33" s="60">
        <v>208</v>
      </c>
      <c r="I33" s="50">
        <f t="shared" si="12"/>
        <v>-75</v>
      </c>
      <c r="J33" s="60">
        <v>6968</v>
      </c>
      <c r="K33" s="60">
        <v>113</v>
      </c>
      <c r="L33" s="60">
        <v>242</v>
      </c>
      <c r="M33" s="50">
        <f t="shared" si="13"/>
        <v>-129</v>
      </c>
      <c r="N33" s="60">
        <v>2408</v>
      </c>
      <c r="O33" s="60">
        <v>11</v>
      </c>
      <c r="P33" s="60">
        <v>130</v>
      </c>
      <c r="Q33" s="50">
        <f t="shared" si="14"/>
        <v>-119</v>
      </c>
      <c r="R33" s="60">
        <v>3710</v>
      </c>
      <c r="S33" s="60">
        <v>58</v>
      </c>
      <c r="T33" s="60">
        <v>90</v>
      </c>
      <c r="U33" s="50">
        <f t="shared" si="15"/>
        <v>-32</v>
      </c>
      <c r="V33" s="60">
        <v>283</v>
      </c>
      <c r="W33" s="60">
        <v>2</v>
      </c>
      <c r="X33" s="60">
        <v>6</v>
      </c>
      <c r="Y33" s="50">
        <f t="shared" si="16"/>
        <v>-4</v>
      </c>
      <c r="Z33" s="61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</row>
    <row r="34" spans="1:47" ht="12.75">
      <c r="A34" s="53" t="s">
        <v>22</v>
      </c>
      <c r="B34" s="60">
        <v>1717</v>
      </c>
      <c r="C34" s="60">
        <v>19</v>
      </c>
      <c r="D34" s="60">
        <v>9</v>
      </c>
      <c r="E34" s="50">
        <f t="shared" si="11"/>
        <v>10</v>
      </c>
      <c r="F34" s="60">
        <v>6179</v>
      </c>
      <c r="G34" s="60">
        <v>79</v>
      </c>
      <c r="H34" s="60">
        <v>73</v>
      </c>
      <c r="I34" s="50">
        <f t="shared" si="12"/>
        <v>6</v>
      </c>
      <c r="J34" s="60">
        <v>6974</v>
      </c>
      <c r="K34" s="60">
        <v>79</v>
      </c>
      <c r="L34" s="60">
        <v>119</v>
      </c>
      <c r="M34" s="50">
        <f t="shared" si="13"/>
        <v>-40</v>
      </c>
      <c r="N34" s="60">
        <v>2403</v>
      </c>
      <c r="O34" s="60">
        <v>17</v>
      </c>
      <c r="P34" s="60">
        <v>36</v>
      </c>
      <c r="Q34" s="50">
        <f t="shared" si="14"/>
        <v>-19</v>
      </c>
      <c r="R34" s="60">
        <v>3761</v>
      </c>
      <c r="S34" s="60">
        <v>56</v>
      </c>
      <c r="T34" s="60">
        <v>56</v>
      </c>
      <c r="U34" s="50">
        <f t="shared" si="15"/>
        <v>0</v>
      </c>
      <c r="V34" s="60">
        <v>289</v>
      </c>
      <c r="W34" s="60">
        <v>5</v>
      </c>
      <c r="X34" s="60">
        <v>6</v>
      </c>
      <c r="Y34" s="50">
        <f t="shared" si="16"/>
        <v>-1</v>
      </c>
      <c r="Z34" s="61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</row>
    <row r="35" spans="1:47" ht="12.75">
      <c r="A35" s="53" t="s">
        <v>23</v>
      </c>
      <c r="B35" s="60">
        <v>1718</v>
      </c>
      <c r="C35" s="60">
        <v>17</v>
      </c>
      <c r="D35" s="60">
        <v>13</v>
      </c>
      <c r="E35" s="50">
        <f t="shared" si="11"/>
        <v>4</v>
      </c>
      <c r="F35" s="60">
        <v>6179</v>
      </c>
      <c r="G35" s="60">
        <v>66</v>
      </c>
      <c r="H35" s="60">
        <v>73</v>
      </c>
      <c r="I35" s="50">
        <f t="shared" si="12"/>
        <v>-7</v>
      </c>
      <c r="J35" s="60">
        <v>6955</v>
      </c>
      <c r="K35" s="60">
        <v>64</v>
      </c>
      <c r="L35" s="60">
        <v>110</v>
      </c>
      <c r="M35" s="50">
        <f t="shared" si="13"/>
        <v>-46</v>
      </c>
      <c r="N35" s="60">
        <v>2394</v>
      </c>
      <c r="O35" s="60">
        <v>7</v>
      </c>
      <c r="P35" s="60">
        <v>38</v>
      </c>
      <c r="Q35" s="50">
        <f t="shared" si="14"/>
        <v>-31</v>
      </c>
      <c r="R35" s="60">
        <v>3765</v>
      </c>
      <c r="S35" s="60">
        <v>44</v>
      </c>
      <c r="T35" s="60">
        <v>73</v>
      </c>
      <c r="U35" s="50">
        <f t="shared" si="15"/>
        <v>-29</v>
      </c>
      <c r="V35" s="60">
        <v>289</v>
      </c>
      <c r="W35" s="60">
        <v>2</v>
      </c>
      <c r="X35" s="60">
        <v>2</v>
      </c>
      <c r="Y35" s="50">
        <f t="shared" si="16"/>
        <v>0</v>
      </c>
      <c r="Z35" s="61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</row>
    <row r="36" spans="1:47" ht="12.75">
      <c r="A36" s="53" t="s">
        <v>24</v>
      </c>
      <c r="B36" s="60">
        <v>1719</v>
      </c>
      <c r="C36" s="60">
        <v>21</v>
      </c>
      <c r="D36" s="60">
        <v>28</v>
      </c>
      <c r="E36" s="50">
        <f t="shared" si="11"/>
        <v>-7</v>
      </c>
      <c r="F36" s="60">
        <v>6178</v>
      </c>
      <c r="G36" s="60">
        <v>98</v>
      </c>
      <c r="H36" s="60">
        <v>113</v>
      </c>
      <c r="I36" s="50">
        <f t="shared" si="12"/>
        <v>-15</v>
      </c>
      <c r="J36" s="60">
        <v>6952</v>
      </c>
      <c r="K36" s="60">
        <v>92</v>
      </c>
      <c r="L36" s="60">
        <v>144</v>
      </c>
      <c r="M36" s="50">
        <f t="shared" si="13"/>
        <v>-52</v>
      </c>
      <c r="N36" s="60">
        <v>2373</v>
      </c>
      <c r="O36" s="60">
        <v>8</v>
      </c>
      <c r="P36" s="60">
        <v>38</v>
      </c>
      <c r="Q36" s="50">
        <f t="shared" si="14"/>
        <v>-30</v>
      </c>
      <c r="R36" s="60">
        <v>3764</v>
      </c>
      <c r="S36" s="60">
        <v>56</v>
      </c>
      <c r="T36" s="60">
        <v>108</v>
      </c>
      <c r="U36" s="50">
        <f t="shared" si="15"/>
        <v>-52</v>
      </c>
      <c r="V36" s="60">
        <v>280</v>
      </c>
      <c r="W36" s="60">
        <v>2</v>
      </c>
      <c r="X36" s="60">
        <v>9</v>
      </c>
      <c r="Y36" s="50">
        <f t="shared" si="16"/>
        <v>-7</v>
      </c>
      <c r="Z36" s="61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</row>
    <row r="37" spans="1:47" ht="12.75">
      <c r="A37" s="53" t="s">
        <v>98</v>
      </c>
      <c r="B37" s="60">
        <v>1726</v>
      </c>
      <c r="C37" s="60">
        <v>33</v>
      </c>
      <c r="D37" s="60">
        <v>38</v>
      </c>
      <c r="E37" s="50">
        <f>C37-D37</f>
        <v>-5</v>
      </c>
      <c r="F37" s="60">
        <v>6147</v>
      </c>
      <c r="G37" s="60">
        <v>115</v>
      </c>
      <c r="H37" s="60">
        <v>171</v>
      </c>
      <c r="I37" s="50">
        <f>G37-H37</f>
        <v>-56</v>
      </c>
      <c r="J37" s="60">
        <v>6941</v>
      </c>
      <c r="K37" s="60">
        <v>123</v>
      </c>
      <c r="L37" s="60">
        <v>192</v>
      </c>
      <c r="M37" s="50">
        <f>K37-L37</f>
        <v>-69</v>
      </c>
      <c r="N37" s="60">
        <v>2346</v>
      </c>
      <c r="O37" s="60">
        <v>10</v>
      </c>
      <c r="P37" s="60">
        <v>46</v>
      </c>
      <c r="Q37" s="50">
        <f>O37-P37</f>
        <v>-36</v>
      </c>
      <c r="R37" s="60">
        <v>3762</v>
      </c>
      <c r="S37" s="60">
        <v>69</v>
      </c>
      <c r="T37" s="60">
        <v>115</v>
      </c>
      <c r="U37" s="50">
        <f>S37-T37</f>
        <v>-46</v>
      </c>
      <c r="V37" s="60">
        <v>271</v>
      </c>
      <c r="W37" s="60">
        <v>4</v>
      </c>
      <c r="X37" s="60">
        <v>9</v>
      </c>
      <c r="Y37" s="50">
        <f>W37-X37</f>
        <v>-5</v>
      </c>
      <c r="Z37" s="61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</row>
    <row r="38" spans="1:47" ht="12.75">
      <c r="A38" s="53" t="s">
        <v>22</v>
      </c>
      <c r="B38" s="60">
        <v>1728</v>
      </c>
      <c r="C38" s="60">
        <v>19</v>
      </c>
      <c r="D38" s="60">
        <v>17</v>
      </c>
      <c r="E38" s="50">
        <f>C38-D38</f>
        <v>2</v>
      </c>
      <c r="F38" s="60">
        <v>6199</v>
      </c>
      <c r="G38" s="60">
        <v>106</v>
      </c>
      <c r="H38" s="60">
        <v>77</v>
      </c>
      <c r="I38" s="50">
        <f>G38-H38</f>
        <v>29</v>
      </c>
      <c r="J38" s="60">
        <v>6970</v>
      </c>
      <c r="K38" s="60">
        <v>83</v>
      </c>
      <c r="L38" s="60">
        <v>81</v>
      </c>
      <c r="M38" s="50">
        <f>K38-L38</f>
        <v>2</v>
      </c>
      <c r="N38" s="60">
        <v>2346</v>
      </c>
      <c r="O38" s="60">
        <v>13</v>
      </c>
      <c r="P38" s="60">
        <v>19</v>
      </c>
      <c r="Q38" s="50">
        <f>O38-P38</f>
        <v>-6</v>
      </c>
      <c r="R38" s="60">
        <v>3799</v>
      </c>
      <c r="S38" s="60">
        <v>71</v>
      </c>
      <c r="T38" s="60">
        <v>57</v>
      </c>
      <c r="U38" s="50">
        <f>S38-T38</f>
        <v>14</v>
      </c>
      <c r="V38" s="60">
        <v>270</v>
      </c>
      <c r="W38" s="60">
        <v>2</v>
      </c>
      <c r="X38" s="60">
        <v>3</v>
      </c>
      <c r="Y38" s="50">
        <f>W38-X38</f>
        <v>-1</v>
      </c>
      <c r="Z38" s="61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</row>
    <row r="39" spans="1:47" ht="12.75">
      <c r="A39" s="53" t="s">
        <v>23</v>
      </c>
      <c r="B39" s="60">
        <v>1716</v>
      </c>
      <c r="C39" s="60">
        <v>14</v>
      </c>
      <c r="D39" s="60">
        <v>16</v>
      </c>
      <c r="E39" s="50">
        <f>C39-D39</f>
        <v>-2</v>
      </c>
      <c r="F39" s="60">
        <v>6180</v>
      </c>
      <c r="G39" s="60">
        <v>64</v>
      </c>
      <c r="H39" s="60">
        <v>69</v>
      </c>
      <c r="I39" s="50">
        <f>G39-H39</f>
        <v>-5</v>
      </c>
      <c r="J39" s="60">
        <v>6960</v>
      </c>
      <c r="K39" s="60">
        <v>65</v>
      </c>
      <c r="L39" s="60">
        <v>89</v>
      </c>
      <c r="M39" s="50">
        <f>K39-L39</f>
        <v>-24</v>
      </c>
      <c r="N39" s="60">
        <v>2350</v>
      </c>
      <c r="O39" s="60">
        <v>14</v>
      </c>
      <c r="P39" s="60">
        <v>27</v>
      </c>
      <c r="Q39" s="50">
        <f>O39-P39</f>
        <v>-13</v>
      </c>
      <c r="R39" s="60">
        <v>3808</v>
      </c>
      <c r="S39" s="60">
        <v>56</v>
      </c>
      <c r="T39" s="60">
        <v>72</v>
      </c>
      <c r="U39" s="50">
        <f>S39-T39</f>
        <v>-16</v>
      </c>
      <c r="V39" s="60">
        <v>274</v>
      </c>
      <c r="W39" s="60">
        <v>2</v>
      </c>
      <c r="X39" s="60">
        <v>0</v>
      </c>
      <c r="Y39" s="50">
        <f>W39-X39</f>
        <v>2</v>
      </c>
      <c r="Z39" s="61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</row>
    <row r="40" spans="1:47" ht="12.75">
      <c r="A40" s="53" t="s">
        <v>24</v>
      </c>
      <c r="B40" s="60">
        <v>1708</v>
      </c>
      <c r="C40" s="60">
        <v>12</v>
      </c>
      <c r="D40" s="60">
        <v>28</v>
      </c>
      <c r="E40" s="50">
        <f>C40-D40</f>
        <v>-16</v>
      </c>
      <c r="F40" s="60">
        <v>6080</v>
      </c>
      <c r="G40" s="60">
        <v>68</v>
      </c>
      <c r="H40" s="60">
        <v>142</v>
      </c>
      <c r="I40" s="50">
        <f>G40-H40</f>
        <v>-74</v>
      </c>
      <c r="J40" s="60">
        <v>6951</v>
      </c>
      <c r="K40" s="60">
        <v>94</v>
      </c>
      <c r="L40" s="60">
        <v>146</v>
      </c>
      <c r="M40" s="50">
        <f>K40-L40</f>
        <v>-52</v>
      </c>
      <c r="N40" s="60">
        <v>2335</v>
      </c>
      <c r="O40" s="60">
        <v>6</v>
      </c>
      <c r="P40" s="60">
        <v>27</v>
      </c>
      <c r="Q40" s="50">
        <f>O40-P40</f>
        <v>-21</v>
      </c>
      <c r="R40" s="60">
        <v>3807</v>
      </c>
      <c r="S40" s="60">
        <v>52</v>
      </c>
      <c r="T40" s="60">
        <v>103</v>
      </c>
      <c r="U40" s="50">
        <f>S40-T40</f>
        <v>-51</v>
      </c>
      <c r="V40" s="60">
        <v>265</v>
      </c>
      <c r="W40" s="60">
        <v>1</v>
      </c>
      <c r="X40" s="60">
        <v>8</v>
      </c>
      <c r="Y40" s="50">
        <f>W40-X40</f>
        <v>-7</v>
      </c>
      <c r="Z40" s="61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</row>
    <row r="41" spans="1:46" ht="11.25" customHeight="1">
      <c r="A41" s="53"/>
      <c r="B41" s="87"/>
      <c r="C41" s="87"/>
      <c r="D41" s="87"/>
      <c r="E41" s="87"/>
      <c r="F41" s="87"/>
      <c r="G41" s="87"/>
      <c r="H41" s="87"/>
      <c r="I41" s="87"/>
      <c r="J41" s="50"/>
      <c r="K41" s="60"/>
      <c r="L41" s="60"/>
      <c r="M41" s="60"/>
      <c r="N41" s="50"/>
      <c r="O41" s="60"/>
      <c r="P41" s="60"/>
      <c r="Q41" s="60"/>
      <c r="R41" s="50"/>
      <c r="S41" s="60"/>
      <c r="T41" s="60"/>
      <c r="U41" s="60"/>
      <c r="V41" s="50"/>
      <c r="W41" s="60"/>
      <c r="X41" s="60"/>
      <c r="Y41" s="6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</row>
    <row r="42" spans="1:49" ht="33" customHeight="1">
      <c r="A42" s="79" t="s">
        <v>1</v>
      </c>
      <c r="B42" s="84" t="s">
        <v>77</v>
      </c>
      <c r="C42" s="85"/>
      <c r="D42" s="85"/>
      <c r="E42" s="86"/>
      <c r="F42" s="81" t="s">
        <v>78</v>
      </c>
      <c r="G42" s="82"/>
      <c r="H42" s="82"/>
      <c r="I42" s="83"/>
      <c r="J42" s="84" t="s">
        <v>79</v>
      </c>
      <c r="K42" s="85"/>
      <c r="L42" s="85"/>
      <c r="M42" s="86"/>
      <c r="N42" s="81" t="s">
        <v>88</v>
      </c>
      <c r="O42" s="82"/>
      <c r="P42" s="82"/>
      <c r="Q42" s="83"/>
      <c r="R42" s="81" t="s">
        <v>89</v>
      </c>
      <c r="S42" s="82"/>
      <c r="T42" s="82"/>
      <c r="U42" s="83"/>
      <c r="V42" s="84" t="s">
        <v>37</v>
      </c>
      <c r="W42" s="85"/>
      <c r="X42" s="85"/>
      <c r="Y42" s="86"/>
      <c r="Z42" s="61"/>
      <c r="AA42" s="61"/>
      <c r="AB42" s="61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50" ht="12.75">
      <c r="A43" s="44"/>
      <c r="B43" s="46" t="s">
        <v>8</v>
      </c>
      <c r="C43" s="63" t="s">
        <v>9</v>
      </c>
      <c r="D43" s="63" t="s">
        <v>10</v>
      </c>
      <c r="E43" s="63" t="s">
        <v>11</v>
      </c>
      <c r="F43" s="46" t="s">
        <v>8</v>
      </c>
      <c r="G43" s="63" t="s">
        <v>9</v>
      </c>
      <c r="H43" s="63" t="s">
        <v>10</v>
      </c>
      <c r="I43" s="64" t="s">
        <v>11</v>
      </c>
      <c r="J43" s="46" t="s">
        <v>8</v>
      </c>
      <c r="K43" s="63" t="s">
        <v>9</v>
      </c>
      <c r="L43" s="63" t="s">
        <v>10</v>
      </c>
      <c r="M43" s="64" t="s">
        <v>11</v>
      </c>
      <c r="N43" s="46" t="s">
        <v>8</v>
      </c>
      <c r="O43" s="63" t="s">
        <v>9</v>
      </c>
      <c r="P43" s="63" t="s">
        <v>10</v>
      </c>
      <c r="Q43" s="63" t="s">
        <v>11</v>
      </c>
      <c r="R43" s="73" t="s">
        <v>8</v>
      </c>
      <c r="S43" s="63" t="s">
        <v>9</v>
      </c>
      <c r="T43" s="63" t="s">
        <v>10</v>
      </c>
      <c r="U43" s="66" t="s">
        <v>11</v>
      </c>
      <c r="V43" s="46" t="s">
        <v>8</v>
      </c>
      <c r="W43" s="63" t="s">
        <v>9</v>
      </c>
      <c r="X43" s="63" t="s">
        <v>10</v>
      </c>
      <c r="Y43" s="64" t="s">
        <v>11</v>
      </c>
      <c r="Z43" s="61"/>
      <c r="AA43" s="61"/>
      <c r="AB43" s="61"/>
      <c r="AC43" s="61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ht="12.75">
      <c r="A44" s="49" t="s">
        <v>71</v>
      </c>
      <c r="B44" s="50">
        <f>B55</f>
        <v>909</v>
      </c>
      <c r="C44" s="50">
        <f>SUM(C52:C55)</f>
        <v>85</v>
      </c>
      <c r="D44" s="50">
        <f aca="true" t="shared" si="17" ref="D44:U44">SUM(D52:D55)</f>
        <v>61</v>
      </c>
      <c r="E44" s="50">
        <f t="shared" si="17"/>
        <v>24</v>
      </c>
      <c r="F44" s="50">
        <f>F55</f>
        <v>1357</v>
      </c>
      <c r="G44" s="50">
        <f t="shared" si="17"/>
        <v>75</v>
      </c>
      <c r="H44" s="50">
        <f t="shared" si="17"/>
        <v>106</v>
      </c>
      <c r="I44" s="50">
        <f t="shared" si="17"/>
        <v>-31</v>
      </c>
      <c r="J44" s="50">
        <f>J55</f>
        <v>5003</v>
      </c>
      <c r="K44" s="50">
        <f t="shared" si="17"/>
        <v>98</v>
      </c>
      <c r="L44" s="50">
        <f t="shared" si="17"/>
        <v>264</v>
      </c>
      <c r="M44" s="50">
        <f t="shared" si="17"/>
        <v>-166</v>
      </c>
      <c r="N44" s="50">
        <f>N55</f>
        <v>3814</v>
      </c>
      <c r="O44" s="50">
        <f t="shared" si="17"/>
        <v>303</v>
      </c>
      <c r="P44" s="50">
        <f t="shared" si="17"/>
        <v>335</v>
      </c>
      <c r="Q44" s="50">
        <f t="shared" si="17"/>
        <v>-32</v>
      </c>
      <c r="R44" s="50">
        <f>R55</f>
        <v>3705</v>
      </c>
      <c r="S44" s="50">
        <f t="shared" si="17"/>
        <v>205</v>
      </c>
      <c r="T44" s="50">
        <f>SUM(T52:T55)</f>
        <v>266</v>
      </c>
      <c r="U44" s="50">
        <f t="shared" si="17"/>
        <v>-61</v>
      </c>
      <c r="V44" s="50">
        <f>B5+F5+J5+N5+R5+V5+B44+J44+F44+N44+R44</f>
        <v>36007</v>
      </c>
      <c r="W44" s="50">
        <f>C5+G5+K5+O5+S5+W5+C44+K44+G44+O44+S44</f>
        <v>2067</v>
      </c>
      <c r="X44" s="50">
        <f>D5+H5+L5+P5+T5+X5+D44+L44+H44+P44+T44</f>
        <v>2789</v>
      </c>
      <c r="Y44" s="50">
        <f>E5+I5+M5+Q5+U5+Y5+E44+M44+I44+Q44+U44</f>
        <v>-722</v>
      </c>
      <c r="Z44" s="61"/>
      <c r="AA44" s="61"/>
      <c r="AB44" s="61"/>
      <c r="AC44" s="61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58"/>
      <c r="AV44" s="58"/>
      <c r="AW44" s="58"/>
      <c r="AX44" s="35"/>
    </row>
    <row r="45" spans="1:50" ht="12.75">
      <c r="A45" s="49" t="s">
        <v>83</v>
      </c>
      <c r="B45" s="50">
        <f>B59</f>
        <v>926</v>
      </c>
      <c r="C45" s="50">
        <f>SUM(C56:C59)</f>
        <v>75</v>
      </c>
      <c r="D45" s="50">
        <f>SUM(D56:D59)</f>
        <v>73</v>
      </c>
      <c r="E45" s="50">
        <f>SUM(E56:E59)</f>
        <v>2</v>
      </c>
      <c r="F45" s="50">
        <f>F59</f>
        <v>1356</v>
      </c>
      <c r="G45" s="50">
        <f>SUM(G56:G59)</f>
        <v>86</v>
      </c>
      <c r="H45" s="50">
        <f>SUM(H56:H59)</f>
        <v>120</v>
      </c>
      <c r="I45" s="50">
        <f>SUM(I56:I59)</f>
        <v>-34</v>
      </c>
      <c r="J45" s="50">
        <f>J59</f>
        <v>5074</v>
      </c>
      <c r="K45" s="50">
        <f>SUM(K56:K59)</f>
        <v>79</v>
      </c>
      <c r="L45" s="50">
        <f>SUM(L56:L59)</f>
        <v>188</v>
      </c>
      <c r="M45" s="50">
        <f>SUM(M56:M59)</f>
        <v>-109</v>
      </c>
      <c r="N45" s="50">
        <f>N59</f>
        <v>3889</v>
      </c>
      <c r="O45" s="50">
        <f>SUM(O56:O59)</f>
        <v>293</v>
      </c>
      <c r="P45" s="50">
        <f>SUM(P56:P59)</f>
        <v>337</v>
      </c>
      <c r="Q45" s="50">
        <f>SUM(Q56:Q59)</f>
        <v>-44</v>
      </c>
      <c r="R45" s="50">
        <f>R59</f>
        <v>3780</v>
      </c>
      <c r="S45" s="50">
        <f>SUM(S56:S59)</f>
        <v>177</v>
      </c>
      <c r="T45" s="50">
        <f>SUM(T56:T59)</f>
        <v>207</v>
      </c>
      <c r="U45" s="50">
        <f>SUM(U56:U59)</f>
        <v>-30</v>
      </c>
      <c r="V45" s="50">
        <f>V59</f>
        <v>36418</v>
      </c>
      <c r="W45" s="50">
        <f>SUM(W56:W59)</f>
        <v>1989</v>
      </c>
      <c r="X45" s="50">
        <f>SUM(X56:X59)</f>
        <v>2630</v>
      </c>
      <c r="Y45" s="50">
        <f>SUM(Y56:Y59)</f>
        <v>-641</v>
      </c>
      <c r="Z45" s="61"/>
      <c r="AA45" s="61"/>
      <c r="AB45" s="61"/>
      <c r="AC45" s="61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58"/>
      <c r="AV45" s="58"/>
      <c r="AW45" s="58"/>
      <c r="AX45" s="35"/>
    </row>
    <row r="46" spans="1:50" ht="12.75">
      <c r="A46" s="49" t="s">
        <v>85</v>
      </c>
      <c r="B46" s="50">
        <f>B63</f>
        <v>960</v>
      </c>
      <c r="C46" s="50">
        <f>SUM(C60:C63)</f>
        <v>78</v>
      </c>
      <c r="D46" s="50">
        <f>SUM(D60:D63)</f>
        <v>58</v>
      </c>
      <c r="E46" s="50">
        <f>SUM(E60:E63)</f>
        <v>20</v>
      </c>
      <c r="F46" s="50">
        <f>F63</f>
        <v>1392</v>
      </c>
      <c r="G46" s="50">
        <f>SUM(G60:G63)</f>
        <v>71</v>
      </c>
      <c r="H46" s="50">
        <f>SUM(H60:H63)</f>
        <v>72</v>
      </c>
      <c r="I46" s="50">
        <f>SUM(I60:I63)</f>
        <v>-1</v>
      </c>
      <c r="J46" s="50">
        <f>J63</f>
        <v>5173</v>
      </c>
      <c r="K46" s="50">
        <f>SUM(K60:K63)</f>
        <v>103</v>
      </c>
      <c r="L46" s="50">
        <f>SUM(L60:L63)</f>
        <v>164</v>
      </c>
      <c r="M46" s="50">
        <f>SUM(M60:M63)</f>
        <v>-61</v>
      </c>
      <c r="N46" s="50">
        <f>N63</f>
        <v>4045</v>
      </c>
      <c r="O46" s="50">
        <f>SUM(O60:O63)</f>
        <v>311</v>
      </c>
      <c r="P46" s="50">
        <f>SUM(P60:P63)</f>
        <v>263</v>
      </c>
      <c r="Q46" s="50">
        <f>SUM(Q60:Q63)</f>
        <v>48</v>
      </c>
      <c r="R46" s="50">
        <f>R63</f>
        <v>3834</v>
      </c>
      <c r="S46" s="50">
        <f>SUM(S60:S63)</f>
        <v>173</v>
      </c>
      <c r="T46" s="50">
        <f>SUM(T60:T63)</f>
        <v>218</v>
      </c>
      <c r="U46" s="50">
        <f>SUM(U60:U63)</f>
        <v>-45</v>
      </c>
      <c r="V46" s="50">
        <f>V63</f>
        <v>36917</v>
      </c>
      <c r="W46" s="50">
        <f>SUM(W60:W63)</f>
        <v>1811</v>
      </c>
      <c r="X46" s="50">
        <f>SUM(X60:X63)</f>
        <v>2217</v>
      </c>
      <c r="Y46" s="50">
        <f>SUM(Y60:Y63)</f>
        <v>25</v>
      </c>
      <c r="Z46" s="61"/>
      <c r="AA46" s="61"/>
      <c r="AB46" s="61"/>
      <c r="AC46" s="61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58"/>
      <c r="AV46" s="58"/>
      <c r="AW46" s="58"/>
      <c r="AX46" s="35"/>
    </row>
    <row r="47" spans="1:50" ht="12.75">
      <c r="A47" s="49" t="s">
        <v>87</v>
      </c>
      <c r="B47" s="50">
        <f>B67</f>
        <v>997</v>
      </c>
      <c r="C47" s="50">
        <f>SUM(C64:C67)</f>
        <v>85</v>
      </c>
      <c r="D47" s="50">
        <f>SUM(D64:D67)</f>
        <v>72</v>
      </c>
      <c r="E47" s="50">
        <f>SUM(E64:E67)</f>
        <v>13</v>
      </c>
      <c r="F47" s="50">
        <f>F67</f>
        <v>1361</v>
      </c>
      <c r="G47" s="50">
        <f>SUM(G64:G67)</f>
        <v>64</v>
      </c>
      <c r="H47" s="50">
        <f>SUM(H64:H67)</f>
        <v>114</v>
      </c>
      <c r="I47" s="50">
        <f>SUM(I64:I67)</f>
        <v>-50</v>
      </c>
      <c r="J47" s="50">
        <f>J67</f>
        <v>5197</v>
      </c>
      <c r="K47" s="50">
        <f>SUM(K64:K67)</f>
        <v>74</v>
      </c>
      <c r="L47" s="50">
        <f>SUM(L64:L67)</f>
        <v>176</v>
      </c>
      <c r="M47" s="50">
        <f>SUM(M64:M67)</f>
        <v>-102</v>
      </c>
      <c r="N47" s="50">
        <f>N67</f>
        <v>4087</v>
      </c>
      <c r="O47" s="50">
        <f>SUM(O64:O67)</f>
        <v>306</v>
      </c>
      <c r="P47" s="50">
        <f>SUM(P64:P67)</f>
        <v>348</v>
      </c>
      <c r="Q47" s="50">
        <f>SUM(Q64:Q67)</f>
        <v>-42</v>
      </c>
      <c r="R47" s="50">
        <f>R67</f>
        <v>3841</v>
      </c>
      <c r="S47" s="50">
        <f>SUM(S64:S67)</f>
        <v>163</v>
      </c>
      <c r="T47" s="50">
        <f>SUM(T64:T67)</f>
        <v>250</v>
      </c>
      <c r="U47" s="50">
        <f>SUM(U64:U67)</f>
        <v>-87</v>
      </c>
      <c r="V47" s="50">
        <f>V67</f>
        <v>36875</v>
      </c>
      <c r="W47" s="50">
        <f>SUM(W64:W67)</f>
        <v>1711</v>
      </c>
      <c r="X47" s="50">
        <f>SUM(X64:X67)</f>
        <v>2603</v>
      </c>
      <c r="Y47" s="50">
        <f>SUM(Y64:Y67)</f>
        <v>-892</v>
      </c>
      <c r="Z47" s="61"/>
      <c r="AA47" s="61"/>
      <c r="AB47" s="61"/>
      <c r="AC47" s="61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58"/>
      <c r="AV47" s="58"/>
      <c r="AW47" s="58"/>
      <c r="AX47" s="35"/>
    </row>
    <row r="48" spans="1:50" ht="12.75">
      <c r="A48" s="49" t="s">
        <v>92</v>
      </c>
      <c r="B48" s="50">
        <f>B71</f>
        <v>1024</v>
      </c>
      <c r="C48" s="50">
        <f>SUM(C68:C71)</f>
        <v>83</v>
      </c>
      <c r="D48" s="50">
        <f aca="true" t="shared" si="18" ref="D48:Y48">SUM(D68:D71)</f>
        <v>81</v>
      </c>
      <c r="E48" s="50">
        <f t="shared" si="18"/>
        <v>2</v>
      </c>
      <c r="F48" s="50">
        <f>F71</f>
        <v>1400</v>
      </c>
      <c r="G48" s="50">
        <f t="shared" si="18"/>
        <v>119</v>
      </c>
      <c r="H48" s="50">
        <f t="shared" si="18"/>
        <v>103</v>
      </c>
      <c r="I48" s="50">
        <f t="shared" si="18"/>
        <v>16</v>
      </c>
      <c r="J48" s="50">
        <f>J71</f>
        <v>5220</v>
      </c>
      <c r="K48" s="50">
        <f t="shared" si="18"/>
        <v>118</v>
      </c>
      <c r="L48" s="50">
        <f t="shared" si="18"/>
        <v>212</v>
      </c>
      <c r="M48" s="50">
        <f t="shared" si="18"/>
        <v>-94</v>
      </c>
      <c r="N48" s="50">
        <f>N71</f>
        <v>4183</v>
      </c>
      <c r="O48" s="50">
        <f t="shared" si="18"/>
        <v>337</v>
      </c>
      <c r="P48" s="50">
        <f t="shared" si="18"/>
        <v>327</v>
      </c>
      <c r="Q48" s="50">
        <f t="shared" si="18"/>
        <v>10</v>
      </c>
      <c r="R48" s="50">
        <f>R71</f>
        <v>3877</v>
      </c>
      <c r="S48" s="50">
        <f t="shared" si="18"/>
        <v>190</v>
      </c>
      <c r="T48" s="50">
        <f t="shared" si="18"/>
        <v>267</v>
      </c>
      <c r="U48" s="50">
        <f t="shared" si="18"/>
        <v>-77</v>
      </c>
      <c r="V48" s="50">
        <f>V71</f>
        <v>37086</v>
      </c>
      <c r="W48" s="50">
        <f>SUM(W68:W71)</f>
        <v>2050</v>
      </c>
      <c r="X48" s="50">
        <f t="shared" si="18"/>
        <v>2698</v>
      </c>
      <c r="Y48" s="50">
        <f t="shared" si="18"/>
        <v>-648</v>
      </c>
      <c r="Z48" s="61"/>
      <c r="AA48" s="61"/>
      <c r="AB48" s="61"/>
      <c r="AC48" s="61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58"/>
      <c r="AV48" s="58"/>
      <c r="AW48" s="58"/>
      <c r="AX48" s="35"/>
    </row>
    <row r="49" spans="1:50" ht="12.75">
      <c r="A49" s="49" t="s">
        <v>95</v>
      </c>
      <c r="B49" s="50">
        <f>B75</f>
        <v>1053</v>
      </c>
      <c r="C49" s="50">
        <f>SUM(C72:C75)</f>
        <v>104</v>
      </c>
      <c r="D49" s="50">
        <f aca="true" t="shared" si="19" ref="D49:Y49">SUM(D72:D75)</f>
        <v>86</v>
      </c>
      <c r="E49" s="50">
        <f t="shared" si="19"/>
        <v>18</v>
      </c>
      <c r="F49" s="50">
        <f>F75</f>
        <v>1386</v>
      </c>
      <c r="G49" s="50">
        <f t="shared" si="19"/>
        <v>61</v>
      </c>
      <c r="H49" s="50">
        <f t="shared" si="19"/>
        <v>91</v>
      </c>
      <c r="I49" s="50">
        <f t="shared" si="19"/>
        <v>-30</v>
      </c>
      <c r="J49" s="50">
        <f>J75</f>
        <v>5100</v>
      </c>
      <c r="K49" s="50">
        <f t="shared" si="19"/>
        <v>66</v>
      </c>
      <c r="L49" s="50">
        <f t="shared" si="19"/>
        <v>234</v>
      </c>
      <c r="M49" s="50">
        <f t="shared" si="19"/>
        <v>-168</v>
      </c>
      <c r="N49" s="50">
        <f>N75</f>
        <v>4280</v>
      </c>
      <c r="O49" s="50">
        <f t="shared" si="19"/>
        <v>343</v>
      </c>
      <c r="P49" s="50">
        <f t="shared" si="19"/>
        <v>329</v>
      </c>
      <c r="Q49" s="50">
        <f t="shared" si="19"/>
        <v>14</v>
      </c>
      <c r="R49" s="50">
        <f>R75</f>
        <v>3904</v>
      </c>
      <c r="S49" s="50">
        <f t="shared" si="19"/>
        <v>194</v>
      </c>
      <c r="T49" s="50">
        <f t="shared" si="19"/>
        <v>251</v>
      </c>
      <c r="U49" s="50">
        <f t="shared" si="19"/>
        <v>-57</v>
      </c>
      <c r="V49" s="50">
        <f>V75</f>
        <v>36989</v>
      </c>
      <c r="W49" s="50">
        <f t="shared" si="19"/>
        <v>1848</v>
      </c>
      <c r="X49" s="50">
        <f t="shared" si="19"/>
        <v>2746</v>
      </c>
      <c r="Y49" s="50">
        <f t="shared" si="19"/>
        <v>-898</v>
      </c>
      <c r="Z49" s="61"/>
      <c r="AA49" s="61"/>
      <c r="AB49" s="61"/>
      <c r="AC49" s="61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58"/>
      <c r="AV49" s="58"/>
      <c r="AW49" s="58"/>
      <c r="AX49" s="35"/>
    </row>
    <row r="50" spans="1:50" ht="12.75">
      <c r="A50" s="49" t="s">
        <v>97</v>
      </c>
      <c r="B50" s="50">
        <f>B79</f>
        <v>1089</v>
      </c>
      <c r="C50" s="50">
        <f>SUM(C76:C79)</f>
        <v>93</v>
      </c>
      <c r="D50" s="50">
        <f aca="true" t="shared" si="20" ref="D50:Y50">SUM(D76:D79)</f>
        <v>85</v>
      </c>
      <c r="E50" s="50">
        <f t="shared" si="20"/>
        <v>8</v>
      </c>
      <c r="F50" s="50">
        <f>F79</f>
        <v>1405</v>
      </c>
      <c r="G50" s="50">
        <f t="shared" si="20"/>
        <v>74</v>
      </c>
      <c r="H50" s="50">
        <f t="shared" si="20"/>
        <v>83</v>
      </c>
      <c r="I50" s="50">
        <f t="shared" si="20"/>
        <v>-9</v>
      </c>
      <c r="J50" s="50">
        <f>J79</f>
        <v>5126</v>
      </c>
      <c r="K50" s="50">
        <f t="shared" si="20"/>
        <v>60</v>
      </c>
      <c r="L50" s="50">
        <f t="shared" si="20"/>
        <v>167</v>
      </c>
      <c r="M50" s="50">
        <f t="shared" si="20"/>
        <v>-107</v>
      </c>
      <c r="N50" s="50">
        <f>N79</f>
        <v>4411</v>
      </c>
      <c r="O50" s="50">
        <f t="shared" si="20"/>
        <v>379</v>
      </c>
      <c r="P50" s="50">
        <f t="shared" si="20"/>
        <v>339</v>
      </c>
      <c r="Q50" s="50">
        <f t="shared" si="20"/>
        <v>40</v>
      </c>
      <c r="R50" s="50">
        <f>R79</f>
        <v>3985</v>
      </c>
      <c r="S50" s="50">
        <f t="shared" si="20"/>
        <v>196</v>
      </c>
      <c r="T50" s="50">
        <f t="shared" si="20"/>
        <v>242</v>
      </c>
      <c r="U50" s="50">
        <f t="shared" si="20"/>
        <v>-46</v>
      </c>
      <c r="V50" s="50">
        <f>V79</f>
        <v>37162</v>
      </c>
      <c r="W50" s="50">
        <f t="shared" si="20"/>
        <v>1898</v>
      </c>
      <c r="X50" s="50">
        <f t="shared" si="20"/>
        <v>2468</v>
      </c>
      <c r="Y50" s="50">
        <f t="shared" si="20"/>
        <v>-570</v>
      </c>
      <c r="Z50" s="61"/>
      <c r="AA50" s="61"/>
      <c r="AB50" s="61"/>
      <c r="AC50" s="61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58"/>
      <c r="AV50" s="58"/>
      <c r="AW50" s="58"/>
      <c r="AX50" s="35"/>
    </row>
    <row r="51" spans="1:50" ht="12.75">
      <c r="A51" s="52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60"/>
      <c r="Z51" s="61"/>
      <c r="AA51" s="61"/>
      <c r="AB51" s="61"/>
      <c r="AC51" s="61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58"/>
      <c r="AV51" s="58"/>
      <c r="AW51" s="58"/>
      <c r="AX51" s="35"/>
    </row>
    <row r="52" spans="1:29" ht="12.75">
      <c r="A52" s="53" t="s">
        <v>72</v>
      </c>
      <c r="B52" s="60">
        <v>888</v>
      </c>
      <c r="C52" s="60">
        <v>37</v>
      </c>
      <c r="D52" s="60">
        <v>22</v>
      </c>
      <c r="E52" s="60">
        <f aca="true" t="shared" si="21" ref="E52:E67">C52-D52</f>
        <v>15</v>
      </c>
      <c r="F52" s="60">
        <v>1351</v>
      </c>
      <c r="G52" s="60">
        <v>29</v>
      </c>
      <c r="H52" s="60">
        <v>50</v>
      </c>
      <c r="I52" s="60">
        <f aca="true" t="shared" si="22" ref="I52:I67">G52-H52</f>
        <v>-21</v>
      </c>
      <c r="J52" s="60">
        <v>5014</v>
      </c>
      <c r="K52" s="60">
        <v>44</v>
      </c>
      <c r="L52" s="60">
        <v>122</v>
      </c>
      <c r="M52" s="60">
        <f aca="true" t="shared" si="23" ref="M52:M67">K52-L52</f>
        <v>-78</v>
      </c>
      <c r="N52" s="60">
        <v>3746</v>
      </c>
      <c r="O52" s="60">
        <v>120</v>
      </c>
      <c r="P52" s="60">
        <v>131</v>
      </c>
      <c r="Q52" s="50">
        <f aca="true" t="shared" si="24" ref="Q52:Q67">O52-P52</f>
        <v>-11</v>
      </c>
      <c r="R52" s="60">
        <v>3704</v>
      </c>
      <c r="S52" s="60">
        <v>74</v>
      </c>
      <c r="T52" s="60">
        <v>91</v>
      </c>
      <c r="U52" s="50">
        <f aca="true" t="shared" si="25" ref="U52:U67">S52-T52</f>
        <v>-17</v>
      </c>
      <c r="V52" s="50">
        <f aca="true" t="shared" si="26" ref="V52:V79">B13+F13+J13+N13+R13+V13+B52+F52+J52+N52+R52</f>
        <v>35820</v>
      </c>
      <c r="W52" s="50">
        <f aca="true" t="shared" si="27" ref="W52:W79">C13+G13+K13+O13+S13+W13+C52+G52+K52+O52+S52</f>
        <v>697</v>
      </c>
      <c r="X52" s="50">
        <f aca="true" t="shared" si="28" ref="X52:X79">D13+H13+L13+P13+T13+X13+D52+H52+L52+P52+T52</f>
        <v>1066</v>
      </c>
      <c r="Y52" s="60">
        <f aca="true" t="shared" si="29" ref="Y52:Y62">W52-X52</f>
        <v>-369</v>
      </c>
      <c r="Z52" s="61"/>
      <c r="AA52" s="61"/>
      <c r="AB52" s="61"/>
      <c r="AC52" s="61"/>
    </row>
    <row r="53" spans="1:29" ht="12.75">
      <c r="A53" s="53" t="s">
        <v>22</v>
      </c>
      <c r="B53" s="60">
        <v>903</v>
      </c>
      <c r="C53" s="60">
        <v>17</v>
      </c>
      <c r="D53" s="60">
        <v>11</v>
      </c>
      <c r="E53" s="60">
        <f t="shared" si="21"/>
        <v>6</v>
      </c>
      <c r="F53" s="60">
        <v>1355</v>
      </c>
      <c r="G53" s="60">
        <v>16</v>
      </c>
      <c r="H53" s="60">
        <v>17</v>
      </c>
      <c r="I53" s="60">
        <f t="shared" si="22"/>
        <v>-1</v>
      </c>
      <c r="J53" s="60">
        <v>5036</v>
      </c>
      <c r="K53" s="60">
        <v>19</v>
      </c>
      <c r="L53" s="60">
        <v>33</v>
      </c>
      <c r="M53" s="60">
        <f t="shared" si="23"/>
        <v>-14</v>
      </c>
      <c r="N53" s="60">
        <v>3785</v>
      </c>
      <c r="O53" s="60">
        <v>65</v>
      </c>
      <c r="P53" s="60">
        <v>63</v>
      </c>
      <c r="Q53" s="50">
        <f t="shared" si="24"/>
        <v>2</v>
      </c>
      <c r="R53" s="60">
        <v>3730</v>
      </c>
      <c r="S53" s="60">
        <v>52</v>
      </c>
      <c r="T53" s="60">
        <v>42</v>
      </c>
      <c r="U53" s="50">
        <f t="shared" si="25"/>
        <v>10</v>
      </c>
      <c r="V53" s="50">
        <f t="shared" si="26"/>
        <v>36060</v>
      </c>
      <c r="W53" s="50">
        <f t="shared" si="27"/>
        <v>493</v>
      </c>
      <c r="X53" s="50">
        <f t="shared" si="28"/>
        <v>439</v>
      </c>
      <c r="Y53" s="60">
        <f t="shared" si="29"/>
        <v>54</v>
      </c>
      <c r="Z53" s="61"/>
      <c r="AA53" s="61"/>
      <c r="AB53" s="61"/>
      <c r="AC53" s="61"/>
    </row>
    <row r="54" spans="1:29" ht="12.75">
      <c r="A54" s="53" t="s">
        <v>23</v>
      </c>
      <c r="B54" s="60">
        <v>913</v>
      </c>
      <c r="C54" s="60">
        <v>16</v>
      </c>
      <c r="D54" s="60">
        <v>4</v>
      </c>
      <c r="E54" s="60">
        <f t="shared" si="21"/>
        <v>12</v>
      </c>
      <c r="F54" s="60">
        <v>1353</v>
      </c>
      <c r="G54" s="60">
        <v>16</v>
      </c>
      <c r="H54" s="60">
        <v>18</v>
      </c>
      <c r="I54" s="60">
        <f t="shared" si="22"/>
        <v>-2</v>
      </c>
      <c r="J54" s="60">
        <v>5044</v>
      </c>
      <c r="K54" s="60">
        <v>19</v>
      </c>
      <c r="L54" s="60">
        <v>30</v>
      </c>
      <c r="M54" s="60">
        <f t="shared" si="23"/>
        <v>-11</v>
      </c>
      <c r="N54" s="60">
        <v>3818</v>
      </c>
      <c r="O54" s="60">
        <v>55</v>
      </c>
      <c r="P54" s="60">
        <v>52</v>
      </c>
      <c r="Q54" s="50">
        <f t="shared" si="24"/>
        <v>3</v>
      </c>
      <c r="R54" s="60">
        <v>3726</v>
      </c>
      <c r="S54" s="60">
        <v>40</v>
      </c>
      <c r="T54" s="60">
        <v>48</v>
      </c>
      <c r="U54" s="50">
        <f t="shared" si="25"/>
        <v>-8</v>
      </c>
      <c r="V54" s="50">
        <f t="shared" si="26"/>
        <v>36135</v>
      </c>
      <c r="W54" s="50">
        <f t="shared" si="27"/>
        <v>418</v>
      </c>
      <c r="X54" s="50">
        <f t="shared" si="28"/>
        <v>476</v>
      </c>
      <c r="Y54" s="60">
        <f t="shared" si="29"/>
        <v>-58</v>
      </c>
      <c r="Z54" s="61"/>
      <c r="AA54" s="61"/>
      <c r="AB54" s="61"/>
      <c r="AC54" s="61"/>
    </row>
    <row r="55" spans="1:29" ht="12.75">
      <c r="A55" s="53" t="s">
        <v>24</v>
      </c>
      <c r="B55" s="60">
        <v>909</v>
      </c>
      <c r="C55" s="60">
        <v>15</v>
      </c>
      <c r="D55" s="60">
        <v>24</v>
      </c>
      <c r="E55" s="60">
        <f t="shared" si="21"/>
        <v>-9</v>
      </c>
      <c r="F55" s="60">
        <v>1357</v>
      </c>
      <c r="G55" s="60">
        <v>14</v>
      </c>
      <c r="H55" s="60">
        <v>21</v>
      </c>
      <c r="I55" s="60">
        <f t="shared" si="22"/>
        <v>-7</v>
      </c>
      <c r="J55" s="60">
        <v>5003</v>
      </c>
      <c r="K55" s="60">
        <v>16</v>
      </c>
      <c r="L55" s="60">
        <v>79</v>
      </c>
      <c r="M55" s="60">
        <f t="shared" si="23"/>
        <v>-63</v>
      </c>
      <c r="N55" s="60">
        <v>3814</v>
      </c>
      <c r="O55" s="60">
        <v>63</v>
      </c>
      <c r="P55" s="60">
        <v>89</v>
      </c>
      <c r="Q55" s="50">
        <f t="shared" si="24"/>
        <v>-26</v>
      </c>
      <c r="R55" s="60">
        <v>3705</v>
      </c>
      <c r="S55" s="60">
        <v>39</v>
      </c>
      <c r="T55" s="60">
        <v>85</v>
      </c>
      <c r="U55" s="50">
        <f t="shared" si="25"/>
        <v>-46</v>
      </c>
      <c r="V55" s="50">
        <f t="shared" si="26"/>
        <v>36007</v>
      </c>
      <c r="W55" s="50">
        <f t="shared" si="27"/>
        <v>459</v>
      </c>
      <c r="X55" s="50">
        <f t="shared" si="28"/>
        <v>808</v>
      </c>
      <c r="Y55" s="60">
        <f t="shared" si="29"/>
        <v>-349</v>
      </c>
      <c r="Z55" s="61"/>
      <c r="AA55" s="61"/>
      <c r="AB55" s="61"/>
      <c r="AC55" s="61"/>
    </row>
    <row r="56" spans="1:29" ht="12.75">
      <c r="A56" s="53" t="s">
        <v>82</v>
      </c>
      <c r="B56" s="60">
        <v>901</v>
      </c>
      <c r="C56" s="60">
        <v>25</v>
      </c>
      <c r="D56" s="60">
        <v>40</v>
      </c>
      <c r="E56" s="60">
        <f t="shared" si="21"/>
        <v>-15</v>
      </c>
      <c r="F56" s="60">
        <v>1350</v>
      </c>
      <c r="G56" s="60">
        <v>36</v>
      </c>
      <c r="H56" s="60">
        <v>55</v>
      </c>
      <c r="I56" s="60">
        <f t="shared" si="22"/>
        <v>-19</v>
      </c>
      <c r="J56" s="60">
        <v>5006</v>
      </c>
      <c r="K56" s="60">
        <v>27</v>
      </c>
      <c r="L56" s="60">
        <v>64</v>
      </c>
      <c r="M56" s="60">
        <f t="shared" si="23"/>
        <v>-37</v>
      </c>
      <c r="N56" s="60">
        <v>3836</v>
      </c>
      <c r="O56" s="60">
        <v>110</v>
      </c>
      <c r="P56" s="60">
        <v>142</v>
      </c>
      <c r="Q56" s="50">
        <f t="shared" si="24"/>
        <v>-32</v>
      </c>
      <c r="R56" s="60">
        <v>3701</v>
      </c>
      <c r="S56" s="60">
        <v>62</v>
      </c>
      <c r="T56" s="60">
        <v>84</v>
      </c>
      <c r="U56" s="50">
        <f t="shared" si="25"/>
        <v>-22</v>
      </c>
      <c r="V56" s="50">
        <f t="shared" si="26"/>
        <v>35896</v>
      </c>
      <c r="W56" s="50">
        <f t="shared" si="27"/>
        <v>666</v>
      </c>
      <c r="X56" s="50">
        <f t="shared" si="28"/>
        <v>1130</v>
      </c>
      <c r="Y56" s="60">
        <f t="shared" si="29"/>
        <v>-464</v>
      </c>
      <c r="Z56" s="61"/>
      <c r="AA56" s="61"/>
      <c r="AB56" s="61"/>
      <c r="AC56" s="61"/>
    </row>
    <row r="57" spans="1:29" ht="12.75">
      <c r="A57" s="53" t="s">
        <v>22</v>
      </c>
      <c r="B57" s="60">
        <v>920</v>
      </c>
      <c r="C57" s="60">
        <v>25</v>
      </c>
      <c r="D57" s="60">
        <v>7</v>
      </c>
      <c r="E57" s="60">
        <f t="shared" si="21"/>
        <v>18</v>
      </c>
      <c r="F57" s="60">
        <v>1351</v>
      </c>
      <c r="G57" s="60">
        <v>16</v>
      </c>
      <c r="H57" s="60">
        <v>25</v>
      </c>
      <c r="I57" s="60">
        <f t="shared" si="22"/>
        <v>-9</v>
      </c>
      <c r="J57" s="60">
        <v>5029</v>
      </c>
      <c r="K57" s="60">
        <v>18</v>
      </c>
      <c r="L57" s="60">
        <v>33</v>
      </c>
      <c r="M57" s="60">
        <f t="shared" si="23"/>
        <v>-15</v>
      </c>
      <c r="N57" s="60">
        <v>3858</v>
      </c>
      <c r="O57" s="60">
        <v>60</v>
      </c>
      <c r="P57" s="60">
        <v>47</v>
      </c>
      <c r="Q57" s="50">
        <f t="shared" si="24"/>
        <v>13</v>
      </c>
      <c r="R57" s="60">
        <v>3738</v>
      </c>
      <c r="S57" s="60">
        <v>42</v>
      </c>
      <c r="T57" s="60">
        <v>28</v>
      </c>
      <c r="U57" s="50">
        <f t="shared" si="25"/>
        <v>14</v>
      </c>
      <c r="V57" s="50">
        <f t="shared" si="26"/>
        <v>36222</v>
      </c>
      <c r="W57" s="50">
        <f t="shared" si="27"/>
        <v>491</v>
      </c>
      <c r="X57" s="50">
        <f t="shared" si="28"/>
        <v>362</v>
      </c>
      <c r="Y57" s="60">
        <f t="shared" si="29"/>
        <v>129</v>
      </c>
      <c r="Z57" s="61"/>
      <c r="AA57" s="61"/>
      <c r="AB57" s="61"/>
      <c r="AC57" s="61"/>
    </row>
    <row r="58" spans="1:29" ht="12.75">
      <c r="A58" s="53" t="s">
        <v>23</v>
      </c>
      <c r="B58" s="60">
        <v>934</v>
      </c>
      <c r="C58" s="60">
        <v>15</v>
      </c>
      <c r="D58" s="60">
        <v>3</v>
      </c>
      <c r="E58" s="60">
        <f t="shared" si="21"/>
        <v>12</v>
      </c>
      <c r="F58" s="60">
        <v>1363</v>
      </c>
      <c r="G58" s="60">
        <v>18</v>
      </c>
      <c r="H58" s="60">
        <v>16</v>
      </c>
      <c r="I58" s="60">
        <f t="shared" si="22"/>
        <v>2</v>
      </c>
      <c r="J58" s="60">
        <v>5055</v>
      </c>
      <c r="K58" s="60">
        <v>13</v>
      </c>
      <c r="L58" s="60">
        <v>25</v>
      </c>
      <c r="M58" s="60">
        <f t="shared" si="23"/>
        <v>-12</v>
      </c>
      <c r="N58" s="60">
        <v>3895</v>
      </c>
      <c r="O58" s="60">
        <v>66</v>
      </c>
      <c r="P58" s="60">
        <v>56</v>
      </c>
      <c r="Q58" s="50">
        <f t="shared" si="24"/>
        <v>10</v>
      </c>
      <c r="R58" s="60">
        <v>3761</v>
      </c>
      <c r="S58" s="60">
        <v>44</v>
      </c>
      <c r="T58" s="60">
        <v>49</v>
      </c>
      <c r="U58" s="50">
        <f t="shared" si="25"/>
        <v>-5</v>
      </c>
      <c r="V58" s="50">
        <f t="shared" si="26"/>
        <v>36404</v>
      </c>
      <c r="W58" s="50">
        <f t="shared" si="27"/>
        <v>435</v>
      </c>
      <c r="X58" s="50">
        <f t="shared" si="28"/>
        <v>478</v>
      </c>
      <c r="Y58" s="60">
        <f t="shared" si="29"/>
        <v>-43</v>
      </c>
      <c r="Z58" s="61"/>
      <c r="AA58" s="61"/>
      <c r="AB58" s="61"/>
      <c r="AC58" s="61"/>
    </row>
    <row r="59" spans="1:29" ht="12.75">
      <c r="A59" s="53" t="s">
        <v>24</v>
      </c>
      <c r="B59" s="60">
        <v>926</v>
      </c>
      <c r="C59" s="60">
        <v>10</v>
      </c>
      <c r="D59" s="60">
        <v>23</v>
      </c>
      <c r="E59" s="60">
        <f t="shared" si="21"/>
        <v>-13</v>
      </c>
      <c r="F59" s="60">
        <v>1356</v>
      </c>
      <c r="G59" s="60">
        <v>16</v>
      </c>
      <c r="H59" s="60">
        <v>24</v>
      </c>
      <c r="I59" s="60">
        <f t="shared" si="22"/>
        <v>-8</v>
      </c>
      <c r="J59" s="60">
        <v>5074</v>
      </c>
      <c r="K59" s="60">
        <v>21</v>
      </c>
      <c r="L59" s="60">
        <v>66</v>
      </c>
      <c r="M59" s="60">
        <f t="shared" si="23"/>
        <v>-45</v>
      </c>
      <c r="N59" s="60">
        <v>3889</v>
      </c>
      <c r="O59" s="60">
        <v>57</v>
      </c>
      <c r="P59" s="60">
        <v>92</v>
      </c>
      <c r="Q59" s="50">
        <f t="shared" si="24"/>
        <v>-35</v>
      </c>
      <c r="R59" s="60">
        <v>3780</v>
      </c>
      <c r="S59" s="60">
        <v>29</v>
      </c>
      <c r="T59" s="60">
        <v>46</v>
      </c>
      <c r="U59" s="50">
        <f t="shared" si="25"/>
        <v>-17</v>
      </c>
      <c r="V59" s="50">
        <f t="shared" si="26"/>
        <v>36418</v>
      </c>
      <c r="W59" s="50">
        <f t="shared" si="27"/>
        <v>397</v>
      </c>
      <c r="X59" s="50">
        <f t="shared" si="28"/>
        <v>660</v>
      </c>
      <c r="Y59" s="60">
        <f t="shared" si="29"/>
        <v>-263</v>
      </c>
      <c r="Z59" s="61"/>
      <c r="AA59" s="61"/>
      <c r="AB59" s="61"/>
      <c r="AC59" s="61"/>
    </row>
    <row r="60" spans="1:29" ht="12.75">
      <c r="A60" s="53" t="s">
        <v>84</v>
      </c>
      <c r="B60" s="60">
        <v>946</v>
      </c>
      <c r="C60" s="60">
        <v>33</v>
      </c>
      <c r="D60" s="60">
        <v>22</v>
      </c>
      <c r="E60" s="60">
        <f t="shared" si="21"/>
        <v>11</v>
      </c>
      <c r="F60" s="60">
        <v>1356</v>
      </c>
      <c r="G60" s="60">
        <v>20</v>
      </c>
      <c r="H60" s="60">
        <v>31</v>
      </c>
      <c r="I60" s="60">
        <f t="shared" si="22"/>
        <v>-11</v>
      </c>
      <c r="J60" s="60">
        <v>5124</v>
      </c>
      <c r="K60" s="60">
        <v>34</v>
      </c>
      <c r="L60" s="60">
        <v>51</v>
      </c>
      <c r="M60" s="60">
        <f t="shared" si="23"/>
        <v>-17</v>
      </c>
      <c r="N60" s="60">
        <v>3959</v>
      </c>
      <c r="O60" s="60">
        <v>123</v>
      </c>
      <c r="P60" s="60">
        <v>109</v>
      </c>
      <c r="Q60" s="50">
        <f t="shared" si="24"/>
        <v>14</v>
      </c>
      <c r="R60" s="60">
        <v>3788</v>
      </c>
      <c r="S60" s="60">
        <v>75</v>
      </c>
      <c r="T60" s="60">
        <v>94</v>
      </c>
      <c r="U60" s="50">
        <f t="shared" si="25"/>
        <v>-19</v>
      </c>
      <c r="V60" s="50">
        <f t="shared" si="26"/>
        <v>36521</v>
      </c>
      <c r="W60" s="50">
        <f t="shared" si="27"/>
        <v>705</v>
      </c>
      <c r="X60" s="50">
        <f t="shared" si="28"/>
        <v>873</v>
      </c>
      <c r="Y60" s="60">
        <f t="shared" si="29"/>
        <v>-168</v>
      </c>
      <c r="Z60" s="61"/>
      <c r="AA60" s="61"/>
      <c r="AB60" s="61"/>
      <c r="AC60" s="61"/>
    </row>
    <row r="61" spans="1:29" ht="12.75">
      <c r="A61" s="53" t="s">
        <v>22</v>
      </c>
      <c r="B61" s="60">
        <v>951</v>
      </c>
      <c r="C61" s="60">
        <v>14</v>
      </c>
      <c r="D61" s="60">
        <v>7</v>
      </c>
      <c r="E61" s="60">
        <f t="shared" si="21"/>
        <v>7</v>
      </c>
      <c r="F61" s="60">
        <v>1364</v>
      </c>
      <c r="G61" s="60">
        <v>18</v>
      </c>
      <c r="H61" s="60">
        <v>14</v>
      </c>
      <c r="I61" s="60">
        <f t="shared" si="22"/>
        <v>4</v>
      </c>
      <c r="J61" s="60">
        <v>5161</v>
      </c>
      <c r="K61" s="60">
        <v>31</v>
      </c>
      <c r="L61" s="60">
        <v>21</v>
      </c>
      <c r="M61" s="60">
        <f t="shared" si="23"/>
        <v>10</v>
      </c>
      <c r="N61" s="60">
        <v>4032</v>
      </c>
      <c r="O61" s="60">
        <v>83</v>
      </c>
      <c r="P61" s="60">
        <v>42</v>
      </c>
      <c r="Q61" s="50">
        <f t="shared" si="24"/>
        <v>41</v>
      </c>
      <c r="R61" s="60">
        <v>3819</v>
      </c>
      <c r="S61" s="60">
        <v>43</v>
      </c>
      <c r="T61" s="60">
        <v>37</v>
      </c>
      <c r="U61" s="50">
        <f t="shared" si="25"/>
        <v>6</v>
      </c>
      <c r="V61" s="50">
        <f t="shared" si="26"/>
        <v>36798</v>
      </c>
      <c r="W61" s="50">
        <f t="shared" si="27"/>
        <v>422</v>
      </c>
      <c r="X61" s="50">
        <f t="shared" si="28"/>
        <v>350</v>
      </c>
      <c r="Y61" s="60">
        <f t="shared" si="29"/>
        <v>72</v>
      </c>
      <c r="Z61" s="61"/>
      <c r="AA61" s="61"/>
      <c r="AB61" s="61"/>
      <c r="AC61" s="61"/>
    </row>
    <row r="62" spans="1:29" ht="12.75">
      <c r="A62" s="53" t="s">
        <v>23</v>
      </c>
      <c r="B62" s="60">
        <v>951</v>
      </c>
      <c r="C62" s="60">
        <v>11</v>
      </c>
      <c r="D62" s="60">
        <v>11</v>
      </c>
      <c r="E62" s="60">
        <f t="shared" si="21"/>
        <v>0</v>
      </c>
      <c r="F62" s="60">
        <v>1382</v>
      </c>
      <c r="G62" s="60">
        <v>16</v>
      </c>
      <c r="H62" s="60">
        <v>5</v>
      </c>
      <c r="I62" s="60">
        <f t="shared" si="22"/>
        <v>11</v>
      </c>
      <c r="J62" s="60">
        <v>5174</v>
      </c>
      <c r="K62" s="60">
        <v>16</v>
      </c>
      <c r="L62" s="60">
        <v>23</v>
      </c>
      <c r="M62" s="60">
        <f t="shared" si="23"/>
        <v>-7</v>
      </c>
      <c r="N62" s="60">
        <v>4057</v>
      </c>
      <c r="O62" s="60">
        <v>56</v>
      </c>
      <c r="P62" s="60">
        <v>45</v>
      </c>
      <c r="Q62" s="50">
        <f t="shared" si="24"/>
        <v>11</v>
      </c>
      <c r="R62" s="60">
        <v>3834</v>
      </c>
      <c r="S62" s="60">
        <v>35</v>
      </c>
      <c r="T62" s="60">
        <v>39</v>
      </c>
      <c r="U62" s="50">
        <f t="shared" si="25"/>
        <v>-4</v>
      </c>
      <c r="V62" s="50">
        <f t="shared" si="26"/>
        <v>36910</v>
      </c>
      <c r="W62" s="50">
        <f t="shared" si="27"/>
        <v>329</v>
      </c>
      <c r="X62" s="50">
        <f t="shared" si="28"/>
        <v>393</v>
      </c>
      <c r="Y62" s="60">
        <f t="shared" si="29"/>
        <v>-64</v>
      </c>
      <c r="Z62" s="61"/>
      <c r="AA62" s="61"/>
      <c r="AB62" s="61"/>
      <c r="AC62" s="61"/>
    </row>
    <row r="63" spans="1:29" ht="12.75">
      <c r="A63" s="53" t="s">
        <v>24</v>
      </c>
      <c r="B63" s="60">
        <v>960</v>
      </c>
      <c r="C63" s="60">
        <v>20</v>
      </c>
      <c r="D63" s="60">
        <v>18</v>
      </c>
      <c r="E63" s="60">
        <f t="shared" si="21"/>
        <v>2</v>
      </c>
      <c r="F63" s="60">
        <v>1392</v>
      </c>
      <c r="G63" s="60">
        <v>17</v>
      </c>
      <c r="H63" s="60">
        <v>22</v>
      </c>
      <c r="I63" s="60">
        <f t="shared" si="22"/>
        <v>-5</v>
      </c>
      <c r="J63" s="60">
        <v>5173</v>
      </c>
      <c r="K63" s="60">
        <v>22</v>
      </c>
      <c r="L63" s="60">
        <v>69</v>
      </c>
      <c r="M63" s="60">
        <f t="shared" si="23"/>
        <v>-47</v>
      </c>
      <c r="N63" s="60">
        <v>4045</v>
      </c>
      <c r="O63" s="60">
        <v>49</v>
      </c>
      <c r="P63" s="60">
        <v>67</v>
      </c>
      <c r="Q63" s="50">
        <f t="shared" si="24"/>
        <v>-18</v>
      </c>
      <c r="R63" s="60">
        <v>3834</v>
      </c>
      <c r="S63" s="60">
        <v>20</v>
      </c>
      <c r="T63" s="60">
        <v>48</v>
      </c>
      <c r="U63" s="50">
        <f t="shared" si="25"/>
        <v>-28</v>
      </c>
      <c r="V63" s="50">
        <f t="shared" si="26"/>
        <v>36917</v>
      </c>
      <c r="W63" s="50">
        <f t="shared" si="27"/>
        <v>355</v>
      </c>
      <c r="X63" s="50">
        <f t="shared" si="28"/>
        <v>601</v>
      </c>
      <c r="Y63" s="60">
        <f>168+17</f>
        <v>185</v>
      </c>
      <c r="Z63" s="61"/>
      <c r="AA63" s="61"/>
      <c r="AB63" s="61"/>
      <c r="AC63" s="61"/>
    </row>
    <row r="64" spans="1:29" ht="12.75">
      <c r="A64" s="53" t="s">
        <v>86</v>
      </c>
      <c r="B64" s="60">
        <f>531+442</f>
        <v>973</v>
      </c>
      <c r="C64" s="60">
        <f>24+16</f>
        <v>40</v>
      </c>
      <c r="D64" s="60">
        <v>39</v>
      </c>
      <c r="E64" s="60">
        <f t="shared" si="21"/>
        <v>1</v>
      </c>
      <c r="F64" s="60">
        <f>217+3+1165</f>
        <v>1385</v>
      </c>
      <c r="G64" s="60">
        <v>28</v>
      </c>
      <c r="H64" s="60">
        <v>43</v>
      </c>
      <c r="I64" s="60">
        <f t="shared" si="22"/>
        <v>-15</v>
      </c>
      <c r="J64" s="60">
        <v>5213</v>
      </c>
      <c r="K64" s="60">
        <v>28</v>
      </c>
      <c r="L64" s="60">
        <v>54</v>
      </c>
      <c r="M64" s="60">
        <f t="shared" si="23"/>
        <v>-26</v>
      </c>
      <c r="N64" s="60">
        <f>2732+185+1118</f>
        <v>4035</v>
      </c>
      <c r="O64" s="60">
        <f>75+2+36</f>
        <v>113</v>
      </c>
      <c r="P64" s="60">
        <f>106+16+34</f>
        <v>156</v>
      </c>
      <c r="Q64" s="50">
        <f t="shared" si="24"/>
        <v>-43</v>
      </c>
      <c r="R64" s="60">
        <f>2+100+199+3499</f>
        <v>3800</v>
      </c>
      <c r="S64" s="60">
        <f>2+2+49</f>
        <v>53</v>
      </c>
      <c r="T64" s="60">
        <f>1+4+7+100</f>
        <v>112</v>
      </c>
      <c r="U64" s="50">
        <f t="shared" si="25"/>
        <v>-59</v>
      </c>
      <c r="V64" s="50">
        <f t="shared" si="26"/>
        <v>36751</v>
      </c>
      <c r="W64" s="50">
        <f t="shared" si="27"/>
        <v>641</v>
      </c>
      <c r="X64" s="50">
        <f t="shared" si="28"/>
        <v>1115</v>
      </c>
      <c r="Y64" s="60">
        <f aca="true" t="shared" si="30" ref="Y64:Y71">W64-X64</f>
        <v>-474</v>
      </c>
      <c r="Z64" s="61"/>
      <c r="AA64" s="61"/>
      <c r="AB64" s="61"/>
      <c r="AC64" s="61"/>
    </row>
    <row r="65" spans="1:29" ht="12.75">
      <c r="A65" s="53" t="s">
        <v>22</v>
      </c>
      <c r="B65" s="60">
        <f>543+450</f>
        <v>993</v>
      </c>
      <c r="C65" s="60">
        <f>12+6</f>
        <v>18</v>
      </c>
      <c r="D65" s="60">
        <v>15</v>
      </c>
      <c r="E65" s="60">
        <f t="shared" si="21"/>
        <v>3</v>
      </c>
      <c r="F65" s="60">
        <f>218+2+1170</f>
        <v>1390</v>
      </c>
      <c r="G65" s="60">
        <v>19</v>
      </c>
      <c r="H65" s="60">
        <f>7+17</f>
        <v>24</v>
      </c>
      <c r="I65" s="60">
        <f t="shared" si="22"/>
        <v>-5</v>
      </c>
      <c r="J65" s="60">
        <v>5235</v>
      </c>
      <c r="K65" s="60">
        <v>21</v>
      </c>
      <c r="L65" s="60">
        <v>24</v>
      </c>
      <c r="M65" s="60">
        <f t="shared" si="23"/>
        <v>-3</v>
      </c>
      <c r="N65" s="60">
        <f>133+765+354+55+448+1003+167+17+29+655+456</f>
        <v>4082</v>
      </c>
      <c r="O65" s="60">
        <f>8+4+8+20+1+19+10</f>
        <v>70</v>
      </c>
      <c r="P65" s="60">
        <f>3+7+11+15+6+2+8+8</f>
        <v>60</v>
      </c>
      <c r="Q65" s="50">
        <f t="shared" si="24"/>
        <v>10</v>
      </c>
      <c r="R65" s="60">
        <f>2+100+203+152+30+69+153+4+37+383+10+542+2141</f>
        <v>3826</v>
      </c>
      <c r="S65" s="60">
        <f>5+2+1+3+3+7+26</f>
        <v>47</v>
      </c>
      <c r="T65" s="60">
        <f>1+3+4+3+1+5+12+18</f>
        <v>47</v>
      </c>
      <c r="U65" s="50">
        <f t="shared" si="25"/>
        <v>0</v>
      </c>
      <c r="V65" s="50">
        <f t="shared" si="26"/>
        <v>36970</v>
      </c>
      <c r="W65" s="50">
        <f t="shared" si="27"/>
        <v>449</v>
      </c>
      <c r="X65" s="50">
        <f t="shared" si="28"/>
        <v>481</v>
      </c>
      <c r="Y65" s="60">
        <f t="shared" si="30"/>
        <v>-32</v>
      </c>
      <c r="Z65" s="61"/>
      <c r="AA65" s="61"/>
      <c r="AB65" s="61"/>
      <c r="AC65" s="61"/>
    </row>
    <row r="66" spans="1:29" ht="12.75">
      <c r="A66" s="53" t="s">
        <v>23</v>
      </c>
      <c r="B66" s="60">
        <f>556+450</f>
        <v>1006</v>
      </c>
      <c r="C66" s="60">
        <v>15</v>
      </c>
      <c r="D66" s="60">
        <v>5</v>
      </c>
      <c r="E66" s="60">
        <f t="shared" si="21"/>
        <v>10</v>
      </c>
      <c r="F66" s="60">
        <f>219+2+1172</f>
        <v>1393</v>
      </c>
      <c r="G66" s="60">
        <v>10</v>
      </c>
      <c r="H66" s="60">
        <v>13</v>
      </c>
      <c r="I66" s="60">
        <f t="shared" si="22"/>
        <v>-3</v>
      </c>
      <c r="J66" s="60">
        <v>5238</v>
      </c>
      <c r="K66" s="60">
        <v>9</v>
      </c>
      <c r="L66" s="60">
        <v>21</v>
      </c>
      <c r="M66" s="60">
        <f t="shared" si="23"/>
        <v>-12</v>
      </c>
      <c r="N66" s="60">
        <f>131+757+357+55+440+109+170+16+26+662+464</f>
        <v>3187</v>
      </c>
      <c r="O66" s="60">
        <f>8+3+2+4+12+2+10+12</f>
        <v>53</v>
      </c>
      <c r="P66" s="60">
        <f>1+10+3+8+11+6+2+6+8</f>
        <v>55</v>
      </c>
      <c r="Q66" s="50">
        <f t="shared" si="24"/>
        <v>-2</v>
      </c>
      <c r="R66" s="60">
        <f>2+101+207+155+30+70+153+4+38+385+10+548+2138</f>
        <v>3841</v>
      </c>
      <c r="S66" s="60">
        <f>1+4+1+2+5+6+16</f>
        <v>35</v>
      </c>
      <c r="T66" s="60">
        <f>2+3+4+22</f>
        <v>31</v>
      </c>
      <c r="U66" s="50">
        <f t="shared" si="25"/>
        <v>4</v>
      </c>
      <c r="V66" s="50">
        <f t="shared" si="26"/>
        <v>36079</v>
      </c>
      <c r="W66" s="50">
        <f t="shared" si="27"/>
        <v>290</v>
      </c>
      <c r="X66" s="50">
        <f t="shared" si="28"/>
        <v>365</v>
      </c>
      <c r="Y66" s="60">
        <f t="shared" si="30"/>
        <v>-75</v>
      </c>
      <c r="Z66" s="61"/>
      <c r="AA66" s="61"/>
      <c r="AB66" s="61"/>
      <c r="AC66" s="61"/>
    </row>
    <row r="67" spans="1:29" ht="12.75">
      <c r="A67" s="53" t="s">
        <v>24</v>
      </c>
      <c r="B67" s="60">
        <f>555+442</f>
        <v>997</v>
      </c>
      <c r="C67" s="60">
        <f>7+5</f>
        <v>12</v>
      </c>
      <c r="D67" s="60">
        <f>7+6</f>
        <v>13</v>
      </c>
      <c r="E67" s="60">
        <f t="shared" si="21"/>
        <v>-1</v>
      </c>
      <c r="F67" s="60">
        <f>208+2+1151</f>
        <v>1361</v>
      </c>
      <c r="G67" s="60">
        <v>7</v>
      </c>
      <c r="H67" s="60">
        <f>13+21</f>
        <v>34</v>
      </c>
      <c r="I67" s="60">
        <f t="shared" si="22"/>
        <v>-27</v>
      </c>
      <c r="J67" s="60">
        <v>5197</v>
      </c>
      <c r="K67" s="60">
        <v>16</v>
      </c>
      <c r="L67" s="60">
        <v>77</v>
      </c>
      <c r="M67" s="60">
        <f t="shared" si="23"/>
        <v>-61</v>
      </c>
      <c r="N67" s="60">
        <f>131+757+357+55+440+1009+170+16+26+662+464</f>
        <v>4087</v>
      </c>
      <c r="O67" s="60">
        <f>15+1+2+6+19+4+1+15+7</f>
        <v>70</v>
      </c>
      <c r="P67" s="60">
        <f>1+20+4+1+11+17+4+12+7</f>
        <v>77</v>
      </c>
      <c r="Q67" s="50">
        <f t="shared" si="24"/>
        <v>-7</v>
      </c>
      <c r="R67" s="60">
        <f>2+99+204+155+31+71+153+4+39+383+9+544+2147</f>
        <v>3841</v>
      </c>
      <c r="S67" s="60">
        <f>2+1+3+1+1+4+16</f>
        <v>28</v>
      </c>
      <c r="T67" s="60">
        <f>3+6+3+1+8+8+31</f>
        <v>60</v>
      </c>
      <c r="U67" s="50">
        <f t="shared" si="25"/>
        <v>-32</v>
      </c>
      <c r="V67" s="50">
        <f t="shared" si="26"/>
        <v>36875</v>
      </c>
      <c r="W67" s="50">
        <f t="shared" si="27"/>
        <v>331</v>
      </c>
      <c r="X67" s="50">
        <f t="shared" si="28"/>
        <v>642</v>
      </c>
      <c r="Y67" s="60">
        <f t="shared" si="30"/>
        <v>-311</v>
      </c>
      <c r="Z67" s="61"/>
      <c r="AA67" s="61"/>
      <c r="AB67" s="61"/>
      <c r="AC67" s="61"/>
    </row>
    <row r="68" spans="1:29" ht="12.75">
      <c r="A68" s="53" t="s">
        <v>93</v>
      </c>
      <c r="B68" s="60">
        <v>1015</v>
      </c>
      <c r="C68" s="60">
        <v>40</v>
      </c>
      <c r="D68" s="60">
        <v>30</v>
      </c>
      <c r="E68" s="60">
        <f aca="true" t="shared" si="31" ref="E68:E75">C68-D68</f>
        <v>10</v>
      </c>
      <c r="F68" s="60">
        <v>1357</v>
      </c>
      <c r="G68" s="60">
        <v>29</v>
      </c>
      <c r="H68" s="60">
        <v>42</v>
      </c>
      <c r="I68" s="60">
        <f aca="true" t="shared" si="32" ref="I68:I75">G68-H68</f>
        <v>-13</v>
      </c>
      <c r="J68" s="60">
        <v>5196</v>
      </c>
      <c r="K68" s="60">
        <v>29</v>
      </c>
      <c r="L68" s="60">
        <v>75</v>
      </c>
      <c r="M68" s="60">
        <f aca="true" t="shared" si="33" ref="M68:M75">K68-L68</f>
        <v>-46</v>
      </c>
      <c r="N68" s="60">
        <v>4114</v>
      </c>
      <c r="O68" s="60">
        <v>135</v>
      </c>
      <c r="P68" s="60">
        <v>147</v>
      </c>
      <c r="Q68" s="50">
        <f aca="true" t="shared" si="34" ref="Q68:Q75">O68-P68</f>
        <v>-12</v>
      </c>
      <c r="R68" s="60">
        <v>3832</v>
      </c>
      <c r="S68" s="60">
        <v>77</v>
      </c>
      <c r="T68" s="60">
        <v>118</v>
      </c>
      <c r="U68" s="50">
        <f aca="true" t="shared" si="35" ref="U68:U75">S68-T68</f>
        <v>-41</v>
      </c>
      <c r="V68" s="50">
        <f t="shared" si="26"/>
        <v>36806</v>
      </c>
      <c r="W68" s="50">
        <f t="shared" si="27"/>
        <v>724</v>
      </c>
      <c r="X68" s="50">
        <f t="shared" si="28"/>
        <v>1099</v>
      </c>
      <c r="Y68" s="60">
        <f t="shared" si="30"/>
        <v>-375</v>
      </c>
      <c r="Z68" s="61"/>
      <c r="AA68" s="61"/>
      <c r="AB68" s="61"/>
      <c r="AC68" s="61"/>
    </row>
    <row r="69" spans="1:29" ht="12.75">
      <c r="A69" s="53" t="s">
        <v>22</v>
      </c>
      <c r="B69" s="60">
        <v>1026</v>
      </c>
      <c r="C69" s="60">
        <v>19</v>
      </c>
      <c r="D69" s="60">
        <v>18</v>
      </c>
      <c r="E69" s="60">
        <f t="shared" si="31"/>
        <v>1</v>
      </c>
      <c r="F69" s="60">
        <v>1381</v>
      </c>
      <c r="G69" s="60">
        <v>42</v>
      </c>
      <c r="H69" s="60">
        <v>25</v>
      </c>
      <c r="I69" s="60">
        <f t="shared" si="32"/>
        <v>17</v>
      </c>
      <c r="J69" s="60">
        <v>5220</v>
      </c>
      <c r="K69" s="60">
        <v>21</v>
      </c>
      <c r="L69" s="60">
        <v>28</v>
      </c>
      <c r="M69" s="60">
        <f t="shared" si="33"/>
        <v>-7</v>
      </c>
      <c r="N69" s="60">
        <v>4179</v>
      </c>
      <c r="O69" s="60">
        <v>87</v>
      </c>
      <c r="P69" s="60">
        <v>41</v>
      </c>
      <c r="Q69" s="50">
        <f t="shared" si="34"/>
        <v>46</v>
      </c>
      <c r="R69" s="60">
        <v>3861</v>
      </c>
      <c r="S69" s="60">
        <v>48</v>
      </c>
      <c r="T69" s="60">
        <v>43</v>
      </c>
      <c r="U69" s="50">
        <f t="shared" si="35"/>
        <v>5</v>
      </c>
      <c r="V69" s="50">
        <f t="shared" si="26"/>
        <v>37080</v>
      </c>
      <c r="W69" s="50">
        <f t="shared" si="27"/>
        <v>496</v>
      </c>
      <c r="X69" s="50">
        <f t="shared" si="28"/>
        <v>447</v>
      </c>
      <c r="Y69" s="60">
        <f t="shared" si="30"/>
        <v>49</v>
      </c>
      <c r="Z69" s="61"/>
      <c r="AA69" s="61"/>
      <c r="AB69" s="61"/>
      <c r="AC69" s="61"/>
    </row>
    <row r="70" spans="1:29" ht="12.75">
      <c r="A70" s="53" t="s">
        <v>23</v>
      </c>
      <c r="B70" s="60">
        <v>1034</v>
      </c>
      <c r="C70" s="60">
        <v>12</v>
      </c>
      <c r="D70" s="60">
        <v>8</v>
      </c>
      <c r="E70" s="60">
        <f t="shared" si="31"/>
        <v>4</v>
      </c>
      <c r="F70" s="60">
        <v>1388</v>
      </c>
      <c r="G70" s="60">
        <v>16</v>
      </c>
      <c r="H70" s="60">
        <v>17</v>
      </c>
      <c r="I70" s="60">
        <f t="shared" si="32"/>
        <v>-1</v>
      </c>
      <c r="J70" s="60">
        <v>5227</v>
      </c>
      <c r="K70" s="60">
        <v>28</v>
      </c>
      <c r="L70" s="60">
        <v>21</v>
      </c>
      <c r="M70" s="60">
        <f t="shared" si="33"/>
        <v>7</v>
      </c>
      <c r="N70" s="60">
        <v>4189</v>
      </c>
      <c r="O70" s="60">
        <v>52</v>
      </c>
      <c r="P70" s="60">
        <v>55</v>
      </c>
      <c r="Q70" s="50">
        <f t="shared" si="34"/>
        <v>-3</v>
      </c>
      <c r="R70" s="60">
        <v>3863</v>
      </c>
      <c r="S70" s="60">
        <v>25</v>
      </c>
      <c r="T70" s="60">
        <v>52</v>
      </c>
      <c r="U70" s="50">
        <f t="shared" si="35"/>
        <v>-27</v>
      </c>
      <c r="V70" s="50">
        <f t="shared" si="26"/>
        <v>37142</v>
      </c>
      <c r="W70" s="50">
        <f t="shared" si="27"/>
        <v>378</v>
      </c>
      <c r="X70" s="50">
        <f t="shared" si="28"/>
        <v>411</v>
      </c>
      <c r="Y70" s="60">
        <f t="shared" si="30"/>
        <v>-33</v>
      </c>
      <c r="Z70" s="61"/>
      <c r="AA70" s="61"/>
      <c r="AB70" s="61"/>
      <c r="AC70" s="61"/>
    </row>
    <row r="71" spans="1:29" ht="12.75">
      <c r="A71" s="53" t="s">
        <v>24</v>
      </c>
      <c r="B71" s="60">
        <v>1024</v>
      </c>
      <c r="C71" s="60">
        <v>12</v>
      </c>
      <c r="D71" s="60">
        <v>25</v>
      </c>
      <c r="E71" s="60">
        <f t="shared" si="31"/>
        <v>-13</v>
      </c>
      <c r="F71" s="60">
        <v>1400</v>
      </c>
      <c r="G71" s="60">
        <v>32</v>
      </c>
      <c r="H71" s="60">
        <v>19</v>
      </c>
      <c r="I71" s="60">
        <f t="shared" si="32"/>
        <v>13</v>
      </c>
      <c r="J71" s="60">
        <v>5220</v>
      </c>
      <c r="K71" s="60">
        <v>40</v>
      </c>
      <c r="L71" s="60">
        <v>88</v>
      </c>
      <c r="M71" s="60">
        <f t="shared" si="33"/>
        <v>-48</v>
      </c>
      <c r="N71" s="60">
        <v>4183</v>
      </c>
      <c r="O71" s="60">
        <v>63</v>
      </c>
      <c r="P71" s="60">
        <v>84</v>
      </c>
      <c r="Q71" s="50">
        <f t="shared" si="34"/>
        <v>-21</v>
      </c>
      <c r="R71" s="60">
        <v>3877</v>
      </c>
      <c r="S71" s="60">
        <v>40</v>
      </c>
      <c r="T71" s="60">
        <v>54</v>
      </c>
      <c r="U71" s="50">
        <f t="shared" si="35"/>
        <v>-14</v>
      </c>
      <c r="V71" s="50">
        <f t="shared" si="26"/>
        <v>37086</v>
      </c>
      <c r="W71" s="50">
        <f t="shared" si="27"/>
        <v>452</v>
      </c>
      <c r="X71" s="50">
        <f t="shared" si="28"/>
        <v>741</v>
      </c>
      <c r="Y71" s="60">
        <f t="shared" si="30"/>
        <v>-289</v>
      </c>
      <c r="Z71" s="61"/>
      <c r="AA71" s="61"/>
      <c r="AB71" s="61"/>
      <c r="AC71" s="61"/>
    </row>
    <row r="72" spans="1:29" ht="12.75">
      <c r="A72" s="53" t="s">
        <v>94</v>
      </c>
      <c r="B72" s="60">
        <v>1026</v>
      </c>
      <c r="C72" s="60">
        <v>34</v>
      </c>
      <c r="D72" s="60">
        <v>47</v>
      </c>
      <c r="E72" s="60">
        <f t="shared" si="31"/>
        <v>-13</v>
      </c>
      <c r="F72" s="60">
        <v>1397</v>
      </c>
      <c r="G72" s="60">
        <v>22</v>
      </c>
      <c r="H72" s="60">
        <v>35</v>
      </c>
      <c r="I72" s="60">
        <f t="shared" si="32"/>
        <v>-13</v>
      </c>
      <c r="J72" s="60">
        <v>5237</v>
      </c>
      <c r="K72" s="60">
        <v>32</v>
      </c>
      <c r="L72" s="60">
        <v>67</v>
      </c>
      <c r="M72" s="60">
        <f t="shared" si="33"/>
        <v>-35</v>
      </c>
      <c r="N72" s="60">
        <v>4191</v>
      </c>
      <c r="O72" s="60">
        <v>122</v>
      </c>
      <c r="P72" s="60">
        <v>140</v>
      </c>
      <c r="Q72" s="50">
        <f t="shared" si="34"/>
        <v>-18</v>
      </c>
      <c r="R72" s="60">
        <v>3858</v>
      </c>
      <c r="S72" s="60">
        <v>65</v>
      </c>
      <c r="T72" s="60">
        <v>100</v>
      </c>
      <c r="U72" s="50">
        <f t="shared" si="35"/>
        <v>-35</v>
      </c>
      <c r="V72" s="50">
        <f t="shared" si="26"/>
        <v>37009</v>
      </c>
      <c r="W72" s="50">
        <f t="shared" si="27"/>
        <v>623</v>
      </c>
      <c r="X72" s="50">
        <f t="shared" si="28"/>
        <v>1096</v>
      </c>
      <c r="Y72" s="60">
        <f aca="true" t="shared" si="36" ref="Y72:Y79">W72-X72</f>
        <v>-473</v>
      </c>
      <c r="Z72" s="61"/>
      <c r="AA72" s="61"/>
      <c r="AB72" s="61"/>
      <c r="AC72" s="61"/>
    </row>
    <row r="73" spans="1:29" ht="12.75">
      <c r="A73" s="53" t="s">
        <v>22</v>
      </c>
      <c r="B73" s="60">
        <v>1040</v>
      </c>
      <c r="C73" s="60">
        <v>22</v>
      </c>
      <c r="D73" s="60">
        <v>7</v>
      </c>
      <c r="E73" s="60">
        <f t="shared" si="31"/>
        <v>15</v>
      </c>
      <c r="F73" s="60">
        <v>1386</v>
      </c>
      <c r="G73" s="60">
        <v>5</v>
      </c>
      <c r="H73" s="60">
        <v>19</v>
      </c>
      <c r="I73" s="60">
        <f t="shared" si="32"/>
        <v>-14</v>
      </c>
      <c r="J73" s="60">
        <v>5189</v>
      </c>
      <c r="K73" s="60">
        <v>13</v>
      </c>
      <c r="L73" s="60">
        <v>43</v>
      </c>
      <c r="M73" s="60">
        <f t="shared" si="33"/>
        <v>-30</v>
      </c>
      <c r="N73" s="60">
        <v>4247</v>
      </c>
      <c r="O73" s="60">
        <v>76</v>
      </c>
      <c r="P73" s="60">
        <v>46</v>
      </c>
      <c r="Q73" s="50">
        <f t="shared" si="34"/>
        <v>30</v>
      </c>
      <c r="R73" s="60">
        <v>3887</v>
      </c>
      <c r="S73" s="60">
        <v>41</v>
      </c>
      <c r="T73" s="60">
        <v>46</v>
      </c>
      <c r="U73" s="50">
        <f t="shared" si="35"/>
        <v>-5</v>
      </c>
      <c r="V73" s="50">
        <f t="shared" si="26"/>
        <v>37072</v>
      </c>
      <c r="W73" s="50">
        <f t="shared" si="27"/>
        <v>412</v>
      </c>
      <c r="X73" s="50">
        <f t="shared" si="28"/>
        <v>460</v>
      </c>
      <c r="Y73" s="60">
        <f t="shared" si="36"/>
        <v>-48</v>
      </c>
      <c r="Z73" s="61"/>
      <c r="AA73" s="61"/>
      <c r="AB73" s="61"/>
      <c r="AC73" s="61"/>
    </row>
    <row r="74" spans="1:29" ht="12.75">
      <c r="A74" s="53" t="s">
        <v>23</v>
      </c>
      <c r="B74" s="60">
        <v>1050</v>
      </c>
      <c r="C74" s="60">
        <v>20</v>
      </c>
      <c r="D74" s="60">
        <v>9</v>
      </c>
      <c r="E74" s="60">
        <f t="shared" si="31"/>
        <v>11</v>
      </c>
      <c r="F74" s="60">
        <v>1389</v>
      </c>
      <c r="G74" s="60">
        <v>18</v>
      </c>
      <c r="H74" s="60">
        <v>13</v>
      </c>
      <c r="I74" s="60">
        <f t="shared" si="32"/>
        <v>5</v>
      </c>
      <c r="J74" s="60">
        <v>5169</v>
      </c>
      <c r="K74" s="60">
        <v>8</v>
      </c>
      <c r="L74" s="60">
        <v>32</v>
      </c>
      <c r="M74" s="60">
        <f t="shared" si="33"/>
        <v>-24</v>
      </c>
      <c r="N74" s="60">
        <v>4279</v>
      </c>
      <c r="O74" s="60">
        <v>60</v>
      </c>
      <c r="P74" s="60">
        <v>44</v>
      </c>
      <c r="Q74" s="50">
        <f t="shared" si="34"/>
        <v>16</v>
      </c>
      <c r="R74" s="60">
        <v>3904</v>
      </c>
      <c r="S74" s="60">
        <v>43</v>
      </c>
      <c r="T74" s="60">
        <v>41</v>
      </c>
      <c r="U74" s="50">
        <f t="shared" si="35"/>
        <v>2</v>
      </c>
      <c r="V74" s="50">
        <f t="shared" si="26"/>
        <v>37091</v>
      </c>
      <c r="W74" s="50">
        <f t="shared" si="27"/>
        <v>349</v>
      </c>
      <c r="X74" s="50">
        <f t="shared" si="28"/>
        <v>448</v>
      </c>
      <c r="Y74" s="60">
        <f t="shared" si="36"/>
        <v>-99</v>
      </c>
      <c r="Z74" s="61"/>
      <c r="AA74" s="61"/>
      <c r="AB74" s="61"/>
      <c r="AC74" s="61"/>
    </row>
    <row r="75" spans="1:29" ht="12.75">
      <c r="A75" s="53" t="s">
        <v>24</v>
      </c>
      <c r="B75" s="60">
        <v>1053</v>
      </c>
      <c r="C75" s="60">
        <v>28</v>
      </c>
      <c r="D75" s="60">
        <v>23</v>
      </c>
      <c r="E75" s="60">
        <f t="shared" si="31"/>
        <v>5</v>
      </c>
      <c r="F75" s="60">
        <v>1386</v>
      </c>
      <c r="G75" s="60">
        <v>16</v>
      </c>
      <c r="H75" s="60">
        <v>24</v>
      </c>
      <c r="I75" s="60">
        <f t="shared" si="32"/>
        <v>-8</v>
      </c>
      <c r="J75" s="60">
        <v>5100</v>
      </c>
      <c r="K75" s="60">
        <v>13</v>
      </c>
      <c r="L75" s="60">
        <v>92</v>
      </c>
      <c r="M75" s="60">
        <f t="shared" si="33"/>
        <v>-79</v>
      </c>
      <c r="N75" s="60">
        <v>4280</v>
      </c>
      <c r="O75" s="60">
        <v>85</v>
      </c>
      <c r="P75" s="60">
        <v>99</v>
      </c>
      <c r="Q75" s="50">
        <f t="shared" si="34"/>
        <v>-14</v>
      </c>
      <c r="R75" s="60">
        <v>3904</v>
      </c>
      <c r="S75" s="60">
        <v>45</v>
      </c>
      <c r="T75" s="60">
        <v>64</v>
      </c>
      <c r="U75" s="50">
        <f t="shared" si="35"/>
        <v>-19</v>
      </c>
      <c r="V75" s="50">
        <f t="shared" si="26"/>
        <v>36989</v>
      </c>
      <c r="W75" s="50">
        <f t="shared" si="27"/>
        <v>464</v>
      </c>
      <c r="X75" s="50">
        <f t="shared" si="28"/>
        <v>742</v>
      </c>
      <c r="Y75" s="60">
        <f t="shared" si="36"/>
        <v>-278</v>
      </c>
      <c r="Z75" s="61"/>
      <c r="AA75" s="61"/>
      <c r="AB75" s="61"/>
      <c r="AC75" s="61"/>
    </row>
    <row r="76" spans="1:29" ht="12.75">
      <c r="A76" s="53" t="s">
        <v>98</v>
      </c>
      <c r="B76" s="60">
        <v>1075</v>
      </c>
      <c r="C76" s="60">
        <v>43</v>
      </c>
      <c r="D76" s="60">
        <v>33</v>
      </c>
      <c r="E76" s="60">
        <f>C76-D76</f>
        <v>10</v>
      </c>
      <c r="F76" s="60">
        <v>1387</v>
      </c>
      <c r="G76" s="60">
        <v>17</v>
      </c>
      <c r="H76" s="60">
        <v>28</v>
      </c>
      <c r="I76" s="60">
        <f>G76-H76</f>
        <v>-11</v>
      </c>
      <c r="J76" s="60">
        <v>5126</v>
      </c>
      <c r="K76" s="60">
        <v>18</v>
      </c>
      <c r="L76" s="60">
        <v>55</v>
      </c>
      <c r="M76" s="60">
        <f>K76-L76</f>
        <v>-37</v>
      </c>
      <c r="N76" s="60">
        <v>4330</v>
      </c>
      <c r="O76" s="60">
        <v>136</v>
      </c>
      <c r="P76" s="60">
        <v>147</v>
      </c>
      <c r="Q76" s="50">
        <f>O76-P76</f>
        <v>-11</v>
      </c>
      <c r="R76" s="60">
        <v>3899</v>
      </c>
      <c r="S76" s="60">
        <v>68</v>
      </c>
      <c r="T76" s="60">
        <v>105</v>
      </c>
      <c r="U76" s="50">
        <f>S76-T76</f>
        <v>-37</v>
      </c>
      <c r="V76" s="50">
        <f t="shared" si="26"/>
        <v>37010</v>
      </c>
      <c r="W76" s="50">
        <f t="shared" si="27"/>
        <v>636</v>
      </c>
      <c r="X76" s="50">
        <f t="shared" si="28"/>
        <v>939</v>
      </c>
      <c r="Y76" s="60">
        <f t="shared" si="36"/>
        <v>-303</v>
      </c>
      <c r="Z76" s="61"/>
      <c r="AA76" s="61"/>
      <c r="AB76" s="61"/>
      <c r="AC76" s="61"/>
    </row>
    <row r="77" spans="1:29" ht="12.75">
      <c r="A77" s="53" t="s">
        <v>22</v>
      </c>
      <c r="B77" s="60">
        <v>1095</v>
      </c>
      <c r="C77" s="60">
        <v>20</v>
      </c>
      <c r="D77" s="60">
        <v>12</v>
      </c>
      <c r="E77" s="60">
        <f>C77-D77</f>
        <v>8</v>
      </c>
      <c r="F77" s="60">
        <v>1387</v>
      </c>
      <c r="G77" s="60">
        <v>16</v>
      </c>
      <c r="H77" s="60">
        <v>18</v>
      </c>
      <c r="I77" s="60">
        <f>G77-H77</f>
        <v>-2</v>
      </c>
      <c r="J77" s="60">
        <v>5146</v>
      </c>
      <c r="K77" s="60">
        <v>16</v>
      </c>
      <c r="L77" s="60">
        <v>17</v>
      </c>
      <c r="M77" s="60">
        <f>K77-L77</f>
        <v>-1</v>
      </c>
      <c r="N77" s="60">
        <v>4381</v>
      </c>
      <c r="O77" s="60">
        <v>86</v>
      </c>
      <c r="P77" s="60">
        <v>43</v>
      </c>
      <c r="Q77" s="50">
        <f>O77-P77</f>
        <v>43</v>
      </c>
      <c r="R77" s="60">
        <v>3942</v>
      </c>
      <c r="S77" s="60">
        <v>40</v>
      </c>
      <c r="T77" s="60">
        <v>31</v>
      </c>
      <c r="U77" s="50">
        <f>S77-T77</f>
        <v>9</v>
      </c>
      <c r="V77" s="50">
        <f t="shared" si="26"/>
        <v>37263</v>
      </c>
      <c r="W77" s="50">
        <f t="shared" si="27"/>
        <v>472</v>
      </c>
      <c r="X77" s="50">
        <f t="shared" si="28"/>
        <v>375</v>
      </c>
      <c r="Y77" s="60">
        <f t="shared" si="36"/>
        <v>97</v>
      </c>
      <c r="Z77" s="61"/>
      <c r="AA77" s="61"/>
      <c r="AB77" s="61"/>
      <c r="AC77" s="61"/>
    </row>
    <row r="78" spans="1:29" ht="12.75">
      <c r="A78" s="53" t="s">
        <v>23</v>
      </c>
      <c r="B78" s="60">
        <v>1097</v>
      </c>
      <c r="C78" s="60">
        <v>10</v>
      </c>
      <c r="D78" s="60">
        <v>7</v>
      </c>
      <c r="E78" s="60">
        <f>C78-D78</f>
        <v>3</v>
      </c>
      <c r="F78" s="60">
        <v>1402</v>
      </c>
      <c r="G78" s="60">
        <v>23</v>
      </c>
      <c r="H78" s="60">
        <v>18</v>
      </c>
      <c r="I78" s="60">
        <f>G78-H78</f>
        <v>5</v>
      </c>
      <c r="J78" s="60">
        <v>5166</v>
      </c>
      <c r="K78" s="60">
        <v>11</v>
      </c>
      <c r="L78" s="60">
        <v>23</v>
      </c>
      <c r="M78" s="60">
        <f>K78-L78</f>
        <v>-12</v>
      </c>
      <c r="N78" s="60">
        <v>4417</v>
      </c>
      <c r="O78" s="60">
        <v>75</v>
      </c>
      <c r="P78" s="60">
        <v>54</v>
      </c>
      <c r="Q78" s="50">
        <f>O78-P78</f>
        <v>21</v>
      </c>
      <c r="R78" s="60">
        <v>3964</v>
      </c>
      <c r="S78" s="60">
        <v>41</v>
      </c>
      <c r="T78" s="60">
        <v>38</v>
      </c>
      <c r="U78" s="50">
        <f>S78-T78</f>
        <v>3</v>
      </c>
      <c r="V78" s="50">
        <f t="shared" si="26"/>
        <v>37334</v>
      </c>
      <c r="W78" s="50">
        <f t="shared" si="27"/>
        <v>375</v>
      </c>
      <c r="X78" s="50">
        <f t="shared" si="28"/>
        <v>413</v>
      </c>
      <c r="Y78" s="60">
        <f t="shared" si="36"/>
        <v>-38</v>
      </c>
      <c r="Z78" s="61"/>
      <c r="AA78" s="61"/>
      <c r="AB78" s="61"/>
      <c r="AC78" s="61"/>
    </row>
    <row r="79" spans="1:29" ht="12.75">
      <c r="A79" s="53" t="s">
        <v>24</v>
      </c>
      <c r="B79" s="60">
        <v>1089</v>
      </c>
      <c r="C79" s="60">
        <v>20</v>
      </c>
      <c r="D79" s="60">
        <v>33</v>
      </c>
      <c r="E79" s="60">
        <f>C79-D79</f>
        <v>-13</v>
      </c>
      <c r="F79" s="60">
        <v>1405</v>
      </c>
      <c r="G79" s="60">
        <v>18</v>
      </c>
      <c r="H79" s="60">
        <v>19</v>
      </c>
      <c r="I79" s="60">
        <f>G79-H79</f>
        <v>-1</v>
      </c>
      <c r="J79" s="60">
        <v>5126</v>
      </c>
      <c r="K79" s="60">
        <v>15</v>
      </c>
      <c r="L79" s="60">
        <v>72</v>
      </c>
      <c r="M79" s="60">
        <f>K79-L79</f>
        <v>-57</v>
      </c>
      <c r="N79" s="60">
        <v>4411</v>
      </c>
      <c r="O79" s="60">
        <v>82</v>
      </c>
      <c r="P79" s="60">
        <v>95</v>
      </c>
      <c r="Q79" s="50">
        <f>O79-P79</f>
        <v>-13</v>
      </c>
      <c r="R79" s="60">
        <v>3985</v>
      </c>
      <c r="S79" s="60">
        <v>47</v>
      </c>
      <c r="T79" s="60">
        <v>68</v>
      </c>
      <c r="U79" s="50">
        <f>S79-T79</f>
        <v>-21</v>
      </c>
      <c r="V79" s="50">
        <f t="shared" si="26"/>
        <v>37162</v>
      </c>
      <c r="W79" s="50">
        <f t="shared" si="27"/>
        <v>415</v>
      </c>
      <c r="X79" s="50">
        <f t="shared" si="28"/>
        <v>741</v>
      </c>
      <c r="Y79" s="60">
        <f t="shared" si="36"/>
        <v>-326</v>
      </c>
      <c r="Z79" s="61"/>
      <c r="AA79" s="61"/>
      <c r="AB79" s="61"/>
      <c r="AC79" s="61"/>
    </row>
    <row r="80" spans="1:25" ht="12.75">
      <c r="A80" s="53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1"/>
      <c r="W80" s="61"/>
      <c r="X80" s="61"/>
      <c r="Y80" s="61"/>
    </row>
    <row r="81" spans="1:25" ht="12.75">
      <c r="A81" s="35" t="s">
        <v>96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ht="12.75">
      <c r="A82" s="35" t="s">
        <v>39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2:25" ht="12.7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2:25" ht="12.7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2:25" ht="12.7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2:25" ht="12.7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2:25" ht="12.7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2:25" ht="12.7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2:25" ht="12.7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2:25" ht="12.7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2:25" ht="12.7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</sheetData>
  <sheetProtection/>
  <mergeCells count="9">
    <mergeCell ref="V3:Y3"/>
    <mergeCell ref="R42:U42"/>
    <mergeCell ref="V42:Y42"/>
    <mergeCell ref="B41:E41"/>
    <mergeCell ref="F41:I41"/>
    <mergeCell ref="B42:E42"/>
    <mergeCell ref="F42:I42"/>
    <mergeCell ref="J42:M42"/>
    <mergeCell ref="N42:Q42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2"/>
  <sheetViews>
    <sheetView showGridLines="0" zoomScalePageLayoutView="0" workbookViewId="0" topLeftCell="A52">
      <selection activeCell="B76" sqref="B76"/>
    </sheetView>
  </sheetViews>
  <sheetFormatPr defaultColWidth="9.140625" defaultRowHeight="12.75"/>
  <cols>
    <col min="1" max="1" width="14.28125" style="0" customWidth="1"/>
    <col min="2" max="2" width="5.421875" style="0" customWidth="1"/>
    <col min="3" max="3" width="6.00390625" style="0" customWidth="1"/>
    <col min="4" max="4" width="6.57421875" style="0" customWidth="1"/>
    <col min="5" max="5" width="5.140625" style="0" customWidth="1"/>
    <col min="6" max="6" width="5.421875" style="0" customWidth="1"/>
    <col min="7" max="7" width="6.00390625" style="0" customWidth="1"/>
    <col min="8" max="8" width="6.57421875" style="0" customWidth="1"/>
    <col min="9" max="9" width="5.140625" style="0" customWidth="1"/>
    <col min="10" max="10" width="6.421875" style="0" customWidth="1"/>
    <col min="11" max="11" width="6.00390625" style="0" customWidth="1"/>
    <col min="12" max="12" width="6.57421875" style="0" customWidth="1"/>
    <col min="13" max="13" width="5.140625" style="0" customWidth="1"/>
    <col min="14" max="14" width="5.421875" style="0" customWidth="1"/>
    <col min="15" max="15" width="6.00390625" style="0" customWidth="1"/>
    <col min="16" max="16" width="6.57421875" style="0" customWidth="1"/>
    <col min="17" max="17" width="5.140625" style="0" customWidth="1"/>
    <col min="18" max="18" width="6.421875" style="0" customWidth="1"/>
    <col min="19" max="19" width="6.00390625" style="0" customWidth="1"/>
    <col min="20" max="20" width="6.57421875" style="0" customWidth="1"/>
    <col min="21" max="21" width="5.140625" style="0" customWidth="1"/>
    <col min="22" max="22" width="5.421875" style="0" customWidth="1"/>
    <col min="23" max="23" width="6.00390625" style="0" customWidth="1"/>
    <col min="24" max="24" width="6.57421875" style="0" customWidth="1"/>
    <col min="25" max="25" width="5.140625" style="0" customWidth="1"/>
    <col min="42" max="42" width="10.140625" style="0" customWidth="1"/>
  </cols>
  <sheetData>
    <row r="1" spans="1:25" s="34" customFormat="1" ht="27" customHeight="1">
      <c r="A1" s="70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17" ht="12.75">
      <c r="A2" s="6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46" ht="12.75">
      <c r="A3" s="80"/>
      <c r="B3" s="6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6" s="43" customFormat="1" ht="22.5">
      <c r="A4" s="79" t="s">
        <v>1</v>
      </c>
      <c r="B4" s="74" t="s">
        <v>2</v>
      </c>
      <c r="C4" s="75"/>
      <c r="D4" s="76"/>
      <c r="E4" s="77"/>
      <c r="F4" s="74" t="s">
        <v>3</v>
      </c>
      <c r="G4" s="75"/>
      <c r="H4" s="76"/>
      <c r="I4" s="75"/>
      <c r="J4" s="74" t="s">
        <v>4</v>
      </c>
      <c r="K4" s="75"/>
      <c r="L4" s="76"/>
      <c r="M4" s="75"/>
      <c r="N4" s="74" t="s">
        <v>5</v>
      </c>
      <c r="O4" s="75"/>
      <c r="P4" s="76"/>
      <c r="Q4" s="77"/>
      <c r="R4" s="74" t="s">
        <v>6</v>
      </c>
      <c r="S4" s="75"/>
      <c r="T4" s="76"/>
      <c r="U4" s="75"/>
      <c r="V4" s="74" t="s">
        <v>7</v>
      </c>
      <c r="W4" s="75"/>
      <c r="X4" s="78"/>
      <c r="Y4" s="77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42"/>
    </row>
    <row r="5" spans="1:46" s="4" customFormat="1" ht="12.75">
      <c r="A5" s="44"/>
      <c r="B5" s="45" t="s">
        <v>8</v>
      </c>
      <c r="C5" s="45" t="s">
        <v>9</v>
      </c>
      <c r="D5" s="45" t="s">
        <v>10</v>
      </c>
      <c r="E5" s="45" t="s">
        <v>11</v>
      </c>
      <c r="F5" s="46" t="s">
        <v>8</v>
      </c>
      <c r="G5" s="45" t="s">
        <v>9</v>
      </c>
      <c r="H5" s="45" t="s">
        <v>10</v>
      </c>
      <c r="I5" s="45" t="s">
        <v>11</v>
      </c>
      <c r="J5" s="46" t="s">
        <v>8</v>
      </c>
      <c r="K5" s="45" t="s">
        <v>9</v>
      </c>
      <c r="L5" s="45" t="s">
        <v>10</v>
      </c>
      <c r="M5" s="45" t="s">
        <v>11</v>
      </c>
      <c r="N5" s="46" t="s">
        <v>8</v>
      </c>
      <c r="O5" s="45" t="s">
        <v>9</v>
      </c>
      <c r="P5" s="45" t="s">
        <v>10</v>
      </c>
      <c r="Q5" s="47" t="s">
        <v>11</v>
      </c>
      <c r="R5" s="46" t="s">
        <v>8</v>
      </c>
      <c r="S5" s="45" t="s">
        <v>9</v>
      </c>
      <c r="T5" s="45" t="s">
        <v>10</v>
      </c>
      <c r="U5" s="45" t="s">
        <v>11</v>
      </c>
      <c r="V5" s="46" t="s">
        <v>8</v>
      </c>
      <c r="W5" s="45" t="s">
        <v>9</v>
      </c>
      <c r="X5" s="45" t="s">
        <v>10</v>
      </c>
      <c r="Y5" s="47" t="s">
        <v>11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 s="48"/>
    </row>
    <row r="6" spans="1:46" s="5" customFormat="1" ht="12.75">
      <c r="A6" s="49" t="s">
        <v>62</v>
      </c>
      <c r="B6" s="50">
        <v>1849</v>
      </c>
      <c r="C6" s="50">
        <f>SUM(C13:C16)</f>
        <v>95</v>
      </c>
      <c r="D6" s="50">
        <f>SUM(D13:D16)</f>
        <v>112</v>
      </c>
      <c r="E6" s="50">
        <f>C6-D6</f>
        <v>-17</v>
      </c>
      <c r="F6" s="60">
        <v>5866</v>
      </c>
      <c r="G6" s="50">
        <f>SUM(G13:G16)</f>
        <v>380</v>
      </c>
      <c r="H6" s="50">
        <f>SUM(H13:H16)</f>
        <v>414</v>
      </c>
      <c r="I6" s="50">
        <f>G6-H6</f>
        <v>-34</v>
      </c>
      <c r="J6" s="60">
        <v>7119</v>
      </c>
      <c r="K6" s="50">
        <f>SUM(K13:K16)</f>
        <v>499</v>
      </c>
      <c r="L6" s="50">
        <f>SUM(L13:L16)</f>
        <v>491</v>
      </c>
      <c r="M6" s="50">
        <f>K6-L6</f>
        <v>8</v>
      </c>
      <c r="N6" s="60">
        <v>2486</v>
      </c>
      <c r="O6" s="50">
        <f>SUM(O13:O16)</f>
        <v>175</v>
      </c>
      <c r="P6" s="50">
        <f>SUM(P13:P16)</f>
        <v>196</v>
      </c>
      <c r="Q6" s="50">
        <f>O6-P6</f>
        <v>-21</v>
      </c>
      <c r="R6" s="60">
        <v>3177</v>
      </c>
      <c r="S6" s="50">
        <f>SUM(S13:S16)</f>
        <v>224</v>
      </c>
      <c r="T6" s="50">
        <f>SUM(T13:T16)</f>
        <v>205</v>
      </c>
      <c r="U6" s="50">
        <f>S6-T6</f>
        <v>19</v>
      </c>
      <c r="V6" s="60">
        <v>1348</v>
      </c>
      <c r="W6" s="50">
        <f>SUM(W13:W16)</f>
        <v>115</v>
      </c>
      <c r="X6" s="50">
        <f>SUM(X13:X16)</f>
        <v>94</v>
      </c>
      <c r="Y6" s="50">
        <f>W6-X6</f>
        <v>21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 s="48"/>
    </row>
    <row r="7" spans="1:46" s="5" customFormat="1" ht="12.75">
      <c r="A7" s="49" t="s">
        <v>64</v>
      </c>
      <c r="B7" s="50">
        <f>B20</f>
        <v>1849</v>
      </c>
      <c r="C7" s="50">
        <f>SUM(C21:C24)</f>
        <v>69</v>
      </c>
      <c r="D7" s="50">
        <f>SUM(D17:D20)</f>
        <v>83</v>
      </c>
      <c r="E7" s="50">
        <f>C7-D7</f>
        <v>-14</v>
      </c>
      <c r="F7" s="60">
        <f>F20</f>
        <v>5925</v>
      </c>
      <c r="G7" s="50">
        <f>SUM(G17:G20)</f>
        <v>438</v>
      </c>
      <c r="H7" s="50">
        <f>SUM(H17:H20)</f>
        <v>469</v>
      </c>
      <c r="I7" s="50">
        <f>G7-H7</f>
        <v>-31</v>
      </c>
      <c r="J7" s="60">
        <f>J20</f>
        <v>7148</v>
      </c>
      <c r="K7" s="50">
        <f>SUM(K17:K20)</f>
        <v>487</v>
      </c>
      <c r="L7" s="50">
        <f>SUM(L17:L20)</f>
        <v>548</v>
      </c>
      <c r="M7" s="50">
        <f>K7-L7</f>
        <v>-61</v>
      </c>
      <c r="N7" s="60">
        <f>N20</f>
        <v>2598</v>
      </c>
      <c r="O7" s="50">
        <f>SUM(O21:O24)</f>
        <v>215</v>
      </c>
      <c r="P7" s="50">
        <f>SUM(P17:P20)</f>
        <v>196</v>
      </c>
      <c r="Q7" s="50">
        <f>O7-P7</f>
        <v>19</v>
      </c>
      <c r="R7" s="60">
        <f>R20</f>
        <v>3182</v>
      </c>
      <c r="S7" s="50">
        <f>SUM(S21:S24)</f>
        <v>95</v>
      </c>
      <c r="T7" s="50">
        <f>SUM(T17:T20)</f>
        <v>239</v>
      </c>
      <c r="U7" s="50">
        <f>S7-T7</f>
        <v>-144</v>
      </c>
      <c r="V7" s="60">
        <f>V20</f>
        <v>1341</v>
      </c>
      <c r="W7" s="50">
        <f>SUM(W21:W24)</f>
        <v>98</v>
      </c>
      <c r="X7" s="50">
        <f>SUM(X17:X20)</f>
        <v>122</v>
      </c>
      <c r="Y7" s="50">
        <f>W7-X7</f>
        <v>-24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 s="48"/>
    </row>
    <row r="8" spans="1:46" s="5" customFormat="1" ht="12.75">
      <c r="A8" s="49" t="s">
        <v>66</v>
      </c>
      <c r="B8" s="50">
        <f>B24</f>
        <v>1846</v>
      </c>
      <c r="C8" s="50">
        <f>SUM(C21:C24)</f>
        <v>69</v>
      </c>
      <c r="D8" s="50">
        <f>SUM(D21:D24)</f>
        <v>98</v>
      </c>
      <c r="E8" s="50">
        <f>SUM(E21:E24)</f>
        <v>-29</v>
      </c>
      <c r="F8" s="60">
        <f>F24</f>
        <v>5946</v>
      </c>
      <c r="G8" s="50">
        <f>SUM(G21:G24)</f>
        <v>391</v>
      </c>
      <c r="H8" s="50">
        <f>SUM(H21:H24)</f>
        <v>457</v>
      </c>
      <c r="I8" s="50">
        <f>SUM(I21:I24)</f>
        <v>-66</v>
      </c>
      <c r="J8" s="60">
        <f>J24</f>
        <v>7224</v>
      </c>
      <c r="K8" s="50">
        <f>SUM(K21:K24)</f>
        <v>505</v>
      </c>
      <c r="L8" s="50">
        <f>SUM(L21:L24)</f>
        <v>576</v>
      </c>
      <c r="M8" s="50">
        <f>SUM(M21:M24)</f>
        <v>-71</v>
      </c>
      <c r="N8" s="60">
        <f>N24</f>
        <v>2680</v>
      </c>
      <c r="O8" s="50">
        <f>SUM(O21:O24)</f>
        <v>215</v>
      </c>
      <c r="P8" s="50">
        <f>SUM(P21:P24)</f>
        <v>237</v>
      </c>
      <c r="Q8" s="50">
        <f>SUM(Q21:Q24)</f>
        <v>-22</v>
      </c>
      <c r="R8" s="60">
        <f>R24</f>
        <v>3100</v>
      </c>
      <c r="S8" s="50">
        <f>SUM(S21:S24)</f>
        <v>95</v>
      </c>
      <c r="T8" s="50">
        <f>SUM(T21:T24)</f>
        <v>207</v>
      </c>
      <c r="U8" s="50">
        <f>SUM(U21:U24)</f>
        <v>-112</v>
      </c>
      <c r="V8" s="60">
        <f>V24</f>
        <v>1352</v>
      </c>
      <c r="W8" s="50">
        <f>SUM(W21:W24)</f>
        <v>98</v>
      </c>
      <c r="X8" s="50">
        <f>SUM(X21:X24)</f>
        <v>108</v>
      </c>
      <c r="Y8" s="50">
        <f>SUM(Y21:Y24)</f>
        <v>-10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 s="48"/>
    </row>
    <row r="9" spans="1:46" s="5" customFormat="1" ht="12.75">
      <c r="A9" s="49" t="s">
        <v>68</v>
      </c>
      <c r="B9" s="50">
        <f>B28</f>
        <v>1824</v>
      </c>
      <c r="C9" s="50">
        <f>SUM(C25:C28)</f>
        <v>76</v>
      </c>
      <c r="D9" s="50">
        <f>SUM(D25:D28)</f>
        <v>134</v>
      </c>
      <c r="E9" s="50">
        <f>SUM(E25:E28)</f>
        <v>-58</v>
      </c>
      <c r="F9" s="50">
        <f>F28</f>
        <v>5945</v>
      </c>
      <c r="G9" s="50">
        <f>SUM(G25:G28)</f>
        <v>373</v>
      </c>
      <c r="H9" s="50">
        <f>SUM(H25:H28)</f>
        <v>532</v>
      </c>
      <c r="I9" s="50">
        <f>SUM(I25:I28)</f>
        <v>-159</v>
      </c>
      <c r="J9" s="50">
        <f>J28</f>
        <v>7214</v>
      </c>
      <c r="K9" s="50">
        <f>SUM(K25:K28)</f>
        <v>514</v>
      </c>
      <c r="L9" s="50">
        <f>SUM(L25:L28)</f>
        <v>652</v>
      </c>
      <c r="M9" s="50">
        <f>SUM(M25:M28)</f>
        <v>-138</v>
      </c>
      <c r="N9" s="50">
        <f>N28</f>
        <v>2724</v>
      </c>
      <c r="O9" s="50">
        <f>SUM(O25:O28)</f>
        <v>209</v>
      </c>
      <c r="P9" s="50">
        <f>SUM(P25:P28)</f>
        <v>366</v>
      </c>
      <c r="Q9" s="50">
        <f>SUM(Q25:Q28)</f>
        <v>-157</v>
      </c>
      <c r="R9" s="50">
        <f>R28</f>
        <v>2974</v>
      </c>
      <c r="S9" s="50">
        <f>SUM(S25:S28)</f>
        <v>112</v>
      </c>
      <c r="T9" s="50">
        <f>SUM(T25:T28)</f>
        <v>247</v>
      </c>
      <c r="U9" s="50">
        <f>SUM(U25:U28)</f>
        <v>-135</v>
      </c>
      <c r="V9" s="50">
        <f>V28</f>
        <v>1358</v>
      </c>
      <c r="W9" s="50">
        <f>SUM(W25:W28)</f>
        <v>107</v>
      </c>
      <c r="X9" s="50">
        <f>SUM(X25:X28)</f>
        <v>127</v>
      </c>
      <c r="Y9" s="50">
        <f>SUM(Y25:Y28)</f>
        <v>-20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 s="48"/>
    </row>
    <row r="10" spans="1:46" s="5" customFormat="1" ht="12.75">
      <c r="A10" s="49" t="s">
        <v>70</v>
      </c>
      <c r="B10" s="50">
        <f>B32</f>
        <v>1849</v>
      </c>
      <c r="C10" s="50">
        <f>SUM(C29:C32)</f>
        <v>79</v>
      </c>
      <c r="D10" s="50">
        <f aca="true" t="shared" si="0" ref="D10:Y10">SUM(D29:D32)</f>
        <v>121</v>
      </c>
      <c r="E10" s="50">
        <f t="shared" si="0"/>
        <v>-42</v>
      </c>
      <c r="F10" s="50">
        <f>F32</f>
        <v>6039</v>
      </c>
      <c r="G10" s="50">
        <f t="shared" si="0"/>
        <v>422</v>
      </c>
      <c r="H10" s="50">
        <f t="shared" si="0"/>
        <v>711</v>
      </c>
      <c r="I10" s="50">
        <f t="shared" si="0"/>
        <v>-289</v>
      </c>
      <c r="J10" s="50">
        <f>J32</f>
        <v>7174</v>
      </c>
      <c r="K10" s="50">
        <f t="shared" si="0"/>
        <v>489</v>
      </c>
      <c r="L10" s="50">
        <f t="shared" si="0"/>
        <v>742</v>
      </c>
      <c r="M10" s="50">
        <f t="shared" si="0"/>
        <v>-253</v>
      </c>
      <c r="N10" s="50">
        <f>N32</f>
        <v>2820</v>
      </c>
      <c r="O10" s="50">
        <f t="shared" si="0"/>
        <v>193</v>
      </c>
      <c r="P10" s="50">
        <f t="shared" si="0"/>
        <v>357</v>
      </c>
      <c r="Q10" s="50">
        <f t="shared" si="0"/>
        <v>-164</v>
      </c>
      <c r="R10" s="50">
        <f>R32</f>
        <v>2893</v>
      </c>
      <c r="S10" s="50">
        <f t="shared" si="0"/>
        <v>79</v>
      </c>
      <c r="T10" s="50">
        <f t="shared" si="0"/>
        <v>250</v>
      </c>
      <c r="U10" s="50">
        <f t="shared" si="0"/>
        <v>-171</v>
      </c>
      <c r="V10" s="50">
        <f>V32</f>
        <v>1351</v>
      </c>
      <c r="W10" s="50">
        <f t="shared" si="0"/>
        <v>89</v>
      </c>
      <c r="X10" s="50">
        <f t="shared" si="0"/>
        <v>172</v>
      </c>
      <c r="Y10" s="50">
        <f t="shared" si="0"/>
        <v>-83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 s="48"/>
    </row>
    <row r="11" spans="1:46" s="5" customFormat="1" ht="12.75">
      <c r="A11" s="49" t="s">
        <v>71</v>
      </c>
      <c r="B11" s="50">
        <f>B36</f>
        <v>1852</v>
      </c>
      <c r="C11" s="50">
        <f>SUM(C33:C36)</f>
        <v>80</v>
      </c>
      <c r="D11" s="50">
        <f>SUM(D33:D36)</f>
        <v>91</v>
      </c>
      <c r="E11" s="50">
        <f>SUM(E33:E36)</f>
        <v>-11</v>
      </c>
      <c r="F11" s="50">
        <f>F36</f>
        <v>6044</v>
      </c>
      <c r="G11" s="50">
        <f>SUM(G33:G36)</f>
        <v>393</v>
      </c>
      <c r="H11" s="50">
        <f>SUM(H33:H36)</f>
        <v>489</v>
      </c>
      <c r="I11" s="50">
        <f>SUM(I33:I36)</f>
        <v>-96</v>
      </c>
      <c r="J11" s="50">
        <f>J36</f>
        <v>7184</v>
      </c>
      <c r="K11" s="50">
        <f>SUM(K33:K36)</f>
        <v>472</v>
      </c>
      <c r="L11" s="50">
        <f>SUM(L33:L36)</f>
        <v>627</v>
      </c>
      <c r="M11" s="50">
        <f>SUM(M33:M36)</f>
        <v>-155</v>
      </c>
      <c r="N11" s="50">
        <f>N36</f>
        <v>2828</v>
      </c>
      <c r="O11" s="50">
        <f>SUM(O33:O36)</f>
        <v>198</v>
      </c>
      <c r="P11" s="50">
        <f>SUM(P33:P36)</f>
        <v>274</v>
      </c>
      <c r="Q11" s="50">
        <f>SUM(Q33:Q36)</f>
        <v>-76</v>
      </c>
      <c r="R11" s="50">
        <f>R36</f>
        <v>2795</v>
      </c>
      <c r="S11" s="50">
        <f>SUM(S33:S36)</f>
        <v>87</v>
      </c>
      <c r="T11" s="50">
        <f>SUM(T33:T36)</f>
        <v>223</v>
      </c>
      <c r="U11" s="50">
        <f>SUM(U33:U36)</f>
        <v>-136</v>
      </c>
      <c r="V11" s="50">
        <f>V36</f>
        <v>1352</v>
      </c>
      <c r="W11" s="50">
        <f>SUM(W33:W36)</f>
        <v>75</v>
      </c>
      <c r="X11" s="50">
        <f>SUM(X33:X36)</f>
        <v>104</v>
      </c>
      <c r="Y11" s="50">
        <f>SUM(Y33:Y36)</f>
        <v>-29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 s="48"/>
    </row>
    <row r="12" spans="1:46" s="5" customFormat="1" ht="9" customHeight="1">
      <c r="A12" s="5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 s="48"/>
    </row>
    <row r="13" spans="1:46" s="57" customFormat="1" ht="12.75" customHeight="1">
      <c r="A13" s="53" t="s">
        <v>61</v>
      </c>
      <c r="B13" s="60">
        <v>1846</v>
      </c>
      <c r="C13" s="60">
        <v>28</v>
      </c>
      <c r="D13" s="60">
        <v>47</v>
      </c>
      <c r="E13" s="50">
        <f aca="true" t="shared" si="1" ref="E13:E20">C13-D13</f>
        <v>-19</v>
      </c>
      <c r="F13" s="60">
        <v>5801</v>
      </c>
      <c r="G13" s="60">
        <v>120</v>
      </c>
      <c r="H13" s="60">
        <v>169</v>
      </c>
      <c r="I13" s="50">
        <f aca="true" t="shared" si="2" ref="I13:I20">G13-H13</f>
        <v>-49</v>
      </c>
      <c r="J13" s="60">
        <v>6974</v>
      </c>
      <c r="K13" s="60">
        <v>150</v>
      </c>
      <c r="L13" s="60">
        <v>184</v>
      </c>
      <c r="M13" s="50">
        <f aca="true" t="shared" si="3" ref="M13:M20">K13-L13</f>
        <v>-34</v>
      </c>
      <c r="N13" s="60">
        <v>2419</v>
      </c>
      <c r="O13" s="60">
        <v>49</v>
      </c>
      <c r="P13" s="60">
        <v>79</v>
      </c>
      <c r="Q13" s="50">
        <f aca="true" t="shared" si="4" ref="Q13:Q20">O13-P13</f>
        <v>-30</v>
      </c>
      <c r="R13" s="60">
        <v>3100</v>
      </c>
      <c r="S13" s="60">
        <v>51</v>
      </c>
      <c r="T13" s="60">
        <v>71</v>
      </c>
      <c r="U13" s="50">
        <f aca="true" t="shared" si="5" ref="U13:U20">S13-T13</f>
        <v>-20</v>
      </c>
      <c r="V13" s="60">
        <v>1322</v>
      </c>
      <c r="W13" s="60">
        <v>47</v>
      </c>
      <c r="X13" s="60">
        <v>36</v>
      </c>
      <c r="Y13" s="50">
        <f aca="true" t="shared" si="6" ref="Y13:Y20">W13-X13</f>
        <v>11</v>
      </c>
      <c r="Z13" s="56"/>
      <c r="AA13" s="56"/>
      <c r="AB13" s="56"/>
      <c r="AC13" s="51"/>
      <c r="AD13" s="56"/>
      <c r="AE13" s="56"/>
      <c r="AF13" s="56"/>
      <c r="AG13" s="51"/>
      <c r="AH13" s="56"/>
      <c r="AI13" s="56"/>
      <c r="AJ13" s="56"/>
      <c r="AK13" s="51"/>
      <c r="AL13" s="56"/>
      <c r="AM13" s="56"/>
      <c r="AN13" s="56"/>
      <c r="AO13" s="51"/>
      <c r="AP13" s="51"/>
      <c r="AQ13" s="51"/>
      <c r="AR13" s="51"/>
      <c r="AS13" s="51"/>
      <c r="AT13" s="35"/>
    </row>
    <row r="14" spans="1:46" s="57" customFormat="1" ht="12.75">
      <c r="A14" s="53" t="s">
        <v>22</v>
      </c>
      <c r="B14" s="60">
        <v>1857</v>
      </c>
      <c r="C14" s="60">
        <v>25</v>
      </c>
      <c r="D14" s="60">
        <v>21</v>
      </c>
      <c r="E14" s="50">
        <f t="shared" si="1"/>
        <v>4</v>
      </c>
      <c r="F14" s="60">
        <v>5856</v>
      </c>
      <c r="G14" s="60">
        <v>105</v>
      </c>
      <c r="H14" s="60">
        <v>71</v>
      </c>
      <c r="I14" s="50">
        <f t="shared" si="2"/>
        <v>34</v>
      </c>
      <c r="J14" s="60">
        <v>7040</v>
      </c>
      <c r="K14" s="60">
        <v>118</v>
      </c>
      <c r="L14" s="60">
        <v>96</v>
      </c>
      <c r="M14" s="50">
        <f t="shared" si="3"/>
        <v>22</v>
      </c>
      <c r="N14" s="60">
        <v>2449</v>
      </c>
      <c r="O14" s="60">
        <v>54</v>
      </c>
      <c r="P14" s="60">
        <v>37</v>
      </c>
      <c r="Q14" s="50">
        <f t="shared" si="4"/>
        <v>17</v>
      </c>
      <c r="R14" s="60">
        <v>3131</v>
      </c>
      <c r="S14" s="60">
        <v>67</v>
      </c>
      <c r="T14" s="60">
        <v>53</v>
      </c>
      <c r="U14" s="50">
        <f t="shared" si="5"/>
        <v>14</v>
      </c>
      <c r="V14" s="60">
        <v>1336</v>
      </c>
      <c r="W14" s="60">
        <v>24</v>
      </c>
      <c r="X14" s="60">
        <v>16</v>
      </c>
      <c r="Y14" s="50">
        <f t="shared" si="6"/>
        <v>8</v>
      </c>
      <c r="Z14" s="56"/>
      <c r="AA14" s="56"/>
      <c r="AB14" s="56"/>
      <c r="AC14" s="51"/>
      <c r="AD14" s="56"/>
      <c r="AE14" s="56"/>
      <c r="AF14" s="56"/>
      <c r="AG14" s="51"/>
      <c r="AH14" s="56"/>
      <c r="AI14" s="56"/>
      <c r="AJ14" s="56"/>
      <c r="AK14" s="51"/>
      <c r="AL14" s="56"/>
      <c r="AM14" s="56"/>
      <c r="AN14" s="56"/>
      <c r="AO14" s="51"/>
      <c r="AP14" s="51"/>
      <c r="AQ14" s="51"/>
      <c r="AR14" s="51"/>
      <c r="AS14" s="51"/>
      <c r="AT14" s="35"/>
    </row>
    <row r="15" spans="1:46" s="57" customFormat="1" ht="12.75">
      <c r="A15" s="53" t="s">
        <v>23</v>
      </c>
      <c r="B15" s="60">
        <v>1857</v>
      </c>
      <c r="C15" s="60">
        <v>17</v>
      </c>
      <c r="D15" s="60">
        <v>19</v>
      </c>
      <c r="E15" s="50">
        <f t="shared" si="1"/>
        <v>-2</v>
      </c>
      <c r="F15" s="60">
        <v>5915</v>
      </c>
      <c r="G15" s="60">
        <v>94</v>
      </c>
      <c r="H15" s="60">
        <v>76</v>
      </c>
      <c r="I15" s="50">
        <f t="shared" si="2"/>
        <v>18</v>
      </c>
      <c r="J15" s="60">
        <v>7085</v>
      </c>
      <c r="K15" s="60">
        <v>113</v>
      </c>
      <c r="L15" s="60">
        <v>108</v>
      </c>
      <c r="M15" s="50">
        <f t="shared" si="3"/>
        <v>5</v>
      </c>
      <c r="N15" s="60">
        <v>2475</v>
      </c>
      <c r="O15" s="60">
        <v>34</v>
      </c>
      <c r="P15" s="60">
        <v>29</v>
      </c>
      <c r="Q15" s="50">
        <f t="shared" si="4"/>
        <v>5</v>
      </c>
      <c r="R15" s="60">
        <v>3156</v>
      </c>
      <c r="S15" s="60">
        <v>62</v>
      </c>
      <c r="T15" s="60">
        <v>49</v>
      </c>
      <c r="U15" s="50">
        <f t="shared" si="5"/>
        <v>13</v>
      </c>
      <c r="V15" s="60">
        <v>1347</v>
      </c>
      <c r="W15" s="60">
        <v>24</v>
      </c>
      <c r="X15" s="60">
        <v>18</v>
      </c>
      <c r="Y15" s="50">
        <f t="shared" si="6"/>
        <v>6</v>
      </c>
      <c r="Z15" s="56"/>
      <c r="AA15" s="56"/>
      <c r="AB15" s="56"/>
      <c r="AC15" s="51"/>
      <c r="AD15" s="56"/>
      <c r="AE15" s="56"/>
      <c r="AF15" s="56"/>
      <c r="AG15" s="51"/>
      <c r="AH15" s="56"/>
      <c r="AI15" s="56"/>
      <c r="AJ15" s="56"/>
      <c r="AK15" s="51"/>
      <c r="AL15" s="56"/>
      <c r="AM15" s="56"/>
      <c r="AN15" s="56"/>
      <c r="AO15" s="51"/>
      <c r="AP15" s="51"/>
      <c r="AQ15" s="51"/>
      <c r="AR15" s="51"/>
      <c r="AS15" s="51"/>
      <c r="AT15" s="35"/>
    </row>
    <row r="16" spans="1:46" s="57" customFormat="1" ht="12.75">
      <c r="A16" s="53" t="s">
        <v>24</v>
      </c>
      <c r="B16" s="60">
        <v>1849</v>
      </c>
      <c r="C16" s="60">
        <v>25</v>
      </c>
      <c r="D16" s="60">
        <v>25</v>
      </c>
      <c r="E16" s="50">
        <f t="shared" si="1"/>
        <v>0</v>
      </c>
      <c r="F16" s="60">
        <v>5866</v>
      </c>
      <c r="G16" s="60">
        <v>61</v>
      </c>
      <c r="H16" s="60">
        <v>98</v>
      </c>
      <c r="I16" s="50">
        <f t="shared" si="2"/>
        <v>-37</v>
      </c>
      <c r="J16" s="60">
        <v>7119</v>
      </c>
      <c r="K16" s="60">
        <v>118</v>
      </c>
      <c r="L16" s="60">
        <v>103</v>
      </c>
      <c r="M16" s="50">
        <f t="shared" si="3"/>
        <v>15</v>
      </c>
      <c r="N16" s="60">
        <v>2486</v>
      </c>
      <c r="O16" s="60">
        <v>38</v>
      </c>
      <c r="P16" s="60">
        <v>51</v>
      </c>
      <c r="Q16" s="50">
        <f t="shared" si="4"/>
        <v>-13</v>
      </c>
      <c r="R16" s="60">
        <v>3177</v>
      </c>
      <c r="S16" s="60">
        <v>44</v>
      </c>
      <c r="T16" s="60">
        <v>32</v>
      </c>
      <c r="U16" s="50">
        <f t="shared" si="5"/>
        <v>12</v>
      </c>
      <c r="V16" s="60">
        <v>1348</v>
      </c>
      <c r="W16" s="60">
        <v>20</v>
      </c>
      <c r="X16" s="60">
        <v>24</v>
      </c>
      <c r="Y16" s="50">
        <f t="shared" si="6"/>
        <v>-4</v>
      </c>
      <c r="Z16" s="56"/>
      <c r="AA16" s="56"/>
      <c r="AB16" s="56"/>
      <c r="AC16" s="51"/>
      <c r="AD16" s="56"/>
      <c r="AE16" s="56"/>
      <c r="AF16" s="56"/>
      <c r="AG16" s="51"/>
      <c r="AH16" s="56"/>
      <c r="AI16" s="56"/>
      <c r="AJ16" s="56"/>
      <c r="AK16" s="51"/>
      <c r="AL16" s="56"/>
      <c r="AM16" s="56"/>
      <c r="AN16" s="56"/>
      <c r="AO16" s="51"/>
      <c r="AP16" s="51"/>
      <c r="AQ16" s="51"/>
      <c r="AR16" s="51"/>
      <c r="AS16" s="51"/>
      <c r="AT16" s="35"/>
    </row>
    <row r="17" spans="1:46" s="57" customFormat="1" ht="12.75">
      <c r="A17" s="53" t="s">
        <v>63</v>
      </c>
      <c r="B17" s="60">
        <v>1847</v>
      </c>
      <c r="C17" s="60">
        <v>20</v>
      </c>
      <c r="D17" s="60">
        <v>30</v>
      </c>
      <c r="E17" s="50">
        <f t="shared" si="1"/>
        <v>-10</v>
      </c>
      <c r="F17" s="60">
        <v>5839</v>
      </c>
      <c r="G17" s="60">
        <v>131</v>
      </c>
      <c r="H17" s="60">
        <v>189</v>
      </c>
      <c r="I17" s="50">
        <f t="shared" si="2"/>
        <v>-58</v>
      </c>
      <c r="J17" s="60">
        <v>7049</v>
      </c>
      <c r="K17" s="60">
        <v>104</v>
      </c>
      <c r="L17" s="60">
        <v>195</v>
      </c>
      <c r="M17" s="50">
        <f t="shared" si="3"/>
        <v>-91</v>
      </c>
      <c r="N17" s="60">
        <v>2502</v>
      </c>
      <c r="O17" s="60">
        <v>49</v>
      </c>
      <c r="P17" s="60">
        <v>57</v>
      </c>
      <c r="Q17" s="50">
        <f t="shared" si="4"/>
        <v>-8</v>
      </c>
      <c r="R17" s="60">
        <v>3165</v>
      </c>
      <c r="S17" s="60">
        <v>54</v>
      </c>
      <c r="T17" s="60">
        <v>69</v>
      </c>
      <c r="U17" s="50">
        <f t="shared" si="5"/>
        <v>-15</v>
      </c>
      <c r="V17" s="60">
        <v>1335</v>
      </c>
      <c r="W17" s="60">
        <v>29</v>
      </c>
      <c r="X17" s="60">
        <v>47</v>
      </c>
      <c r="Y17" s="50">
        <f t="shared" si="6"/>
        <v>-18</v>
      </c>
      <c r="Z17" s="56"/>
      <c r="AA17" s="56"/>
      <c r="AB17" s="56"/>
      <c r="AC17" s="51"/>
      <c r="AD17" s="56"/>
      <c r="AE17" s="56"/>
      <c r="AF17" s="56"/>
      <c r="AG17" s="51"/>
      <c r="AH17" s="56"/>
      <c r="AI17" s="56"/>
      <c r="AJ17" s="56"/>
      <c r="AK17" s="51"/>
      <c r="AL17" s="56"/>
      <c r="AM17" s="56"/>
      <c r="AN17" s="56"/>
      <c r="AO17" s="51"/>
      <c r="AP17" s="51"/>
      <c r="AQ17" s="51"/>
      <c r="AR17" s="51"/>
      <c r="AS17" s="51"/>
      <c r="AT17" s="35"/>
    </row>
    <row r="18" spans="1:46" s="57" customFormat="1" ht="12.75">
      <c r="A18" s="53" t="s">
        <v>22</v>
      </c>
      <c r="B18" s="60">
        <v>1848</v>
      </c>
      <c r="C18" s="60">
        <v>15</v>
      </c>
      <c r="D18" s="60">
        <v>14</v>
      </c>
      <c r="E18" s="50">
        <f t="shared" si="1"/>
        <v>1</v>
      </c>
      <c r="F18" s="60">
        <v>5925</v>
      </c>
      <c r="G18" s="60">
        <v>139</v>
      </c>
      <c r="H18" s="60">
        <v>75</v>
      </c>
      <c r="I18" s="50">
        <f t="shared" si="2"/>
        <v>64</v>
      </c>
      <c r="J18" s="60">
        <v>7129</v>
      </c>
      <c r="K18" s="60">
        <v>163</v>
      </c>
      <c r="L18" s="60">
        <v>109</v>
      </c>
      <c r="M18" s="50">
        <f t="shared" si="3"/>
        <v>54</v>
      </c>
      <c r="N18" s="60">
        <v>2553</v>
      </c>
      <c r="O18" s="60">
        <v>61</v>
      </c>
      <c r="P18" s="60">
        <v>40</v>
      </c>
      <c r="Q18" s="50">
        <f t="shared" si="4"/>
        <v>21</v>
      </c>
      <c r="R18" s="60">
        <v>3198</v>
      </c>
      <c r="S18" s="60">
        <v>83</v>
      </c>
      <c r="T18" s="60">
        <v>63</v>
      </c>
      <c r="U18" s="50">
        <f t="shared" si="5"/>
        <v>20</v>
      </c>
      <c r="V18" s="60">
        <v>1336</v>
      </c>
      <c r="W18" s="60">
        <v>24</v>
      </c>
      <c r="X18" s="60">
        <v>27</v>
      </c>
      <c r="Y18" s="50">
        <f t="shared" si="6"/>
        <v>-3</v>
      </c>
      <c r="Z18" s="56"/>
      <c r="AA18" s="56"/>
      <c r="AB18" s="56"/>
      <c r="AC18" s="51"/>
      <c r="AD18" s="56"/>
      <c r="AE18" s="56"/>
      <c r="AF18" s="56"/>
      <c r="AG18" s="51"/>
      <c r="AH18" s="56"/>
      <c r="AI18" s="56"/>
      <c r="AJ18" s="56"/>
      <c r="AK18" s="51"/>
      <c r="AL18" s="56"/>
      <c r="AM18" s="56"/>
      <c r="AN18" s="56"/>
      <c r="AO18" s="51"/>
      <c r="AP18" s="51"/>
      <c r="AQ18" s="51"/>
      <c r="AR18" s="51"/>
      <c r="AS18" s="51"/>
      <c r="AT18" s="35"/>
    </row>
    <row r="19" spans="1:46" s="57" customFormat="1" ht="12.75">
      <c r="A19" s="53" t="s">
        <v>23</v>
      </c>
      <c r="B19" s="60">
        <v>1845</v>
      </c>
      <c r="C19" s="60">
        <v>11</v>
      </c>
      <c r="D19" s="60">
        <v>13</v>
      </c>
      <c r="E19" s="50">
        <f t="shared" si="1"/>
        <v>-2</v>
      </c>
      <c r="F19" s="60">
        <v>5938</v>
      </c>
      <c r="G19" s="60">
        <v>82</v>
      </c>
      <c r="H19" s="60">
        <v>90</v>
      </c>
      <c r="I19" s="50">
        <f t="shared" si="2"/>
        <v>-8</v>
      </c>
      <c r="J19" s="60">
        <v>7144</v>
      </c>
      <c r="K19" s="60">
        <v>99</v>
      </c>
      <c r="L19" s="60">
        <v>105</v>
      </c>
      <c r="M19" s="50">
        <f t="shared" si="3"/>
        <v>-6</v>
      </c>
      <c r="N19" s="60">
        <v>2569</v>
      </c>
      <c r="O19" s="60">
        <v>42</v>
      </c>
      <c r="P19" s="60">
        <v>43</v>
      </c>
      <c r="Q19" s="50">
        <f t="shared" si="4"/>
        <v>-1</v>
      </c>
      <c r="R19" s="60">
        <f>2692+1+403+110</f>
        <v>3206</v>
      </c>
      <c r="S19" s="60">
        <f>36+1+6</f>
        <v>43</v>
      </c>
      <c r="T19" s="60">
        <f>40+7+6</f>
        <v>53</v>
      </c>
      <c r="U19" s="50">
        <f t="shared" si="5"/>
        <v>-10</v>
      </c>
      <c r="V19" s="60">
        <f>162+5+1174</f>
        <v>1341</v>
      </c>
      <c r="W19" s="60">
        <v>22</v>
      </c>
      <c r="X19" s="60">
        <f>2+19</f>
        <v>21</v>
      </c>
      <c r="Y19" s="50">
        <f t="shared" si="6"/>
        <v>1</v>
      </c>
      <c r="Z19" s="56"/>
      <c r="AA19" s="56"/>
      <c r="AB19" s="56"/>
      <c r="AC19" s="51"/>
      <c r="AD19" s="56"/>
      <c r="AE19" s="56"/>
      <c r="AF19" s="56"/>
      <c r="AG19" s="51"/>
      <c r="AH19" s="56"/>
      <c r="AI19" s="56"/>
      <c r="AJ19" s="56"/>
      <c r="AK19" s="51"/>
      <c r="AL19" s="56"/>
      <c r="AM19" s="56"/>
      <c r="AN19" s="56"/>
      <c r="AO19" s="51"/>
      <c r="AP19" s="51"/>
      <c r="AQ19" s="51"/>
      <c r="AR19" s="51"/>
      <c r="AS19" s="51"/>
      <c r="AT19" s="35"/>
    </row>
    <row r="20" spans="1:46" s="57" customFormat="1" ht="12.75">
      <c r="A20" s="53" t="s">
        <v>24</v>
      </c>
      <c r="B20" s="60">
        <v>1849</v>
      </c>
      <c r="C20" s="60">
        <v>18</v>
      </c>
      <c r="D20" s="60">
        <v>26</v>
      </c>
      <c r="E20" s="50">
        <f t="shared" si="1"/>
        <v>-8</v>
      </c>
      <c r="F20" s="60">
        <v>5925</v>
      </c>
      <c r="G20" s="60">
        <v>86</v>
      </c>
      <c r="H20" s="60">
        <v>115</v>
      </c>
      <c r="I20" s="50">
        <f t="shared" si="2"/>
        <v>-29</v>
      </c>
      <c r="J20" s="60">
        <v>7148</v>
      </c>
      <c r="K20" s="60">
        <v>121</v>
      </c>
      <c r="L20" s="60">
        <v>139</v>
      </c>
      <c r="M20" s="50">
        <f t="shared" si="3"/>
        <v>-18</v>
      </c>
      <c r="N20" s="60">
        <v>2598</v>
      </c>
      <c r="O20" s="60">
        <v>41</v>
      </c>
      <c r="P20" s="60">
        <v>56</v>
      </c>
      <c r="Q20" s="50">
        <f t="shared" si="4"/>
        <v>-15</v>
      </c>
      <c r="R20" s="60">
        <f>2663+1+405+113</f>
        <v>3182</v>
      </c>
      <c r="S20" s="60">
        <f>14+4+3</f>
        <v>21</v>
      </c>
      <c r="T20" s="60">
        <f>45+3+6</f>
        <v>54</v>
      </c>
      <c r="U20" s="50">
        <f t="shared" si="5"/>
        <v>-33</v>
      </c>
      <c r="V20" s="60">
        <f>151+3+1187</f>
        <v>1341</v>
      </c>
      <c r="W20" s="60">
        <v>25</v>
      </c>
      <c r="X20" s="60">
        <f>4+23</f>
        <v>27</v>
      </c>
      <c r="Y20" s="50">
        <f t="shared" si="6"/>
        <v>-2</v>
      </c>
      <c r="Z20" s="56"/>
      <c r="AA20" s="56"/>
      <c r="AB20" s="56"/>
      <c r="AC20" s="51"/>
      <c r="AD20" s="56"/>
      <c r="AE20" s="56"/>
      <c r="AF20" s="56"/>
      <c r="AG20" s="51"/>
      <c r="AH20" s="56"/>
      <c r="AI20" s="56"/>
      <c r="AJ20" s="56"/>
      <c r="AK20" s="51"/>
      <c r="AL20" s="56"/>
      <c r="AM20" s="56"/>
      <c r="AN20" s="56"/>
      <c r="AO20" s="51"/>
      <c r="AP20" s="51"/>
      <c r="AQ20" s="51"/>
      <c r="AR20" s="51"/>
      <c r="AS20" s="51"/>
      <c r="AT20" s="35"/>
    </row>
    <row r="21" spans="1:47" s="57" customFormat="1" ht="12.75">
      <c r="A21" s="53" t="s">
        <v>65</v>
      </c>
      <c r="B21" s="60">
        <v>1835</v>
      </c>
      <c r="C21" s="60">
        <v>21</v>
      </c>
      <c r="D21" s="60">
        <v>43</v>
      </c>
      <c r="E21" s="50">
        <f aca="true" t="shared" si="7" ref="E21:E36">C21-D21</f>
        <v>-22</v>
      </c>
      <c r="F21" s="60">
        <v>5887</v>
      </c>
      <c r="G21" s="60">
        <v>143</v>
      </c>
      <c r="H21" s="60">
        <v>205</v>
      </c>
      <c r="I21" s="50">
        <f aca="true" t="shared" si="8" ref="I21:I36">G21-H21</f>
        <v>-62</v>
      </c>
      <c r="J21" s="60">
        <v>7138</v>
      </c>
      <c r="K21" s="60">
        <v>155</v>
      </c>
      <c r="L21" s="60">
        <v>199</v>
      </c>
      <c r="M21" s="50">
        <f aca="true" t="shared" si="9" ref="M21:M36">K21-L21</f>
        <v>-44</v>
      </c>
      <c r="N21" s="60">
        <v>2598</v>
      </c>
      <c r="O21" s="60">
        <v>58</v>
      </c>
      <c r="P21" s="60">
        <v>74</v>
      </c>
      <c r="Q21" s="50">
        <f aca="true" t="shared" si="10" ref="Q21:Q36">O21-P21</f>
        <v>-16</v>
      </c>
      <c r="R21" s="60">
        <v>3156</v>
      </c>
      <c r="S21" s="60">
        <v>40</v>
      </c>
      <c r="T21" s="60">
        <v>58</v>
      </c>
      <c r="U21" s="50">
        <f aca="true" t="shared" si="11" ref="U21:U36">S21-T21</f>
        <v>-18</v>
      </c>
      <c r="V21" s="60">
        <v>1335</v>
      </c>
      <c r="W21" s="60">
        <v>32</v>
      </c>
      <c r="X21" s="60">
        <v>48</v>
      </c>
      <c r="Y21" s="50">
        <f aca="true" t="shared" si="12" ref="Y21:Y36">W21-X21</f>
        <v>-16</v>
      </c>
      <c r="Z21" s="50"/>
      <c r="AA21" s="56"/>
      <c r="AB21" s="56"/>
      <c r="AC21" s="56"/>
      <c r="AD21" s="51"/>
      <c r="AE21" s="56"/>
      <c r="AF21" s="56"/>
      <c r="AG21" s="56"/>
      <c r="AH21" s="51"/>
      <c r="AI21" s="56"/>
      <c r="AJ21" s="56"/>
      <c r="AK21" s="56"/>
      <c r="AL21" s="51"/>
      <c r="AM21" s="56"/>
      <c r="AN21" s="56"/>
      <c r="AO21" s="56"/>
      <c r="AP21" s="51"/>
      <c r="AQ21" s="51"/>
      <c r="AR21" s="51"/>
      <c r="AS21" s="51"/>
      <c r="AT21" s="51"/>
      <c r="AU21" s="35"/>
    </row>
    <row r="22" spans="1:47" ht="12.75">
      <c r="A22" s="53" t="s">
        <v>22</v>
      </c>
      <c r="B22" s="60">
        <v>1843</v>
      </c>
      <c r="C22" s="60">
        <v>20</v>
      </c>
      <c r="D22" s="60">
        <v>19</v>
      </c>
      <c r="E22" s="50">
        <f t="shared" si="7"/>
        <v>1</v>
      </c>
      <c r="F22" s="60">
        <v>5938</v>
      </c>
      <c r="G22" s="60">
        <v>101</v>
      </c>
      <c r="H22" s="60">
        <v>85</v>
      </c>
      <c r="I22" s="50">
        <f t="shared" si="8"/>
        <v>16</v>
      </c>
      <c r="J22" s="60">
        <v>7189</v>
      </c>
      <c r="K22" s="60">
        <v>126</v>
      </c>
      <c r="L22" s="60">
        <v>113</v>
      </c>
      <c r="M22" s="50">
        <f t="shared" si="9"/>
        <v>13</v>
      </c>
      <c r="N22" s="60">
        <v>2629</v>
      </c>
      <c r="O22" s="60">
        <v>58</v>
      </c>
      <c r="P22" s="60">
        <v>58</v>
      </c>
      <c r="Q22" s="50">
        <f t="shared" si="10"/>
        <v>0</v>
      </c>
      <c r="R22" s="60">
        <v>3115</v>
      </c>
      <c r="S22" s="60">
        <v>21</v>
      </c>
      <c r="T22" s="60">
        <v>73</v>
      </c>
      <c r="U22" s="50">
        <f t="shared" si="11"/>
        <v>-52</v>
      </c>
      <c r="V22" s="60">
        <v>1347</v>
      </c>
      <c r="W22" s="60">
        <v>26</v>
      </c>
      <c r="X22" s="60">
        <v>17</v>
      </c>
      <c r="Y22" s="50">
        <f t="shared" si="12"/>
        <v>9</v>
      </c>
      <c r="Z22" s="61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</row>
    <row r="23" spans="1:47" ht="12.75">
      <c r="A23" s="53" t="s">
        <v>23</v>
      </c>
      <c r="B23" s="60">
        <v>1849</v>
      </c>
      <c r="C23" s="60">
        <v>11</v>
      </c>
      <c r="D23" s="60">
        <v>11</v>
      </c>
      <c r="E23" s="50">
        <f t="shared" si="7"/>
        <v>0</v>
      </c>
      <c r="F23" s="60">
        <v>5961</v>
      </c>
      <c r="G23" s="60">
        <v>69</v>
      </c>
      <c r="H23" s="60">
        <v>68</v>
      </c>
      <c r="I23" s="50">
        <f t="shared" si="8"/>
        <v>1</v>
      </c>
      <c r="J23" s="60">
        <v>7229</v>
      </c>
      <c r="K23" s="60">
        <v>115</v>
      </c>
      <c r="L23" s="60">
        <v>116</v>
      </c>
      <c r="M23" s="50">
        <f t="shared" si="9"/>
        <v>-1</v>
      </c>
      <c r="N23" s="60">
        <v>2664</v>
      </c>
      <c r="O23" s="60">
        <v>52</v>
      </c>
      <c r="P23" s="60">
        <v>39</v>
      </c>
      <c r="Q23" s="50">
        <f t="shared" si="10"/>
        <v>13</v>
      </c>
      <c r="R23" s="60">
        <v>3101</v>
      </c>
      <c r="S23" s="60">
        <v>13</v>
      </c>
      <c r="T23" s="60">
        <v>31</v>
      </c>
      <c r="U23" s="50">
        <f t="shared" si="11"/>
        <v>-18</v>
      </c>
      <c r="V23" s="60">
        <v>1357</v>
      </c>
      <c r="W23" s="60">
        <v>19</v>
      </c>
      <c r="X23" s="60">
        <v>15</v>
      </c>
      <c r="Y23" s="50">
        <f t="shared" si="12"/>
        <v>4</v>
      </c>
      <c r="Z23" s="61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</row>
    <row r="24" spans="1:47" ht="12.75">
      <c r="A24" s="53" t="s">
        <v>24</v>
      </c>
      <c r="B24" s="60">
        <v>1846</v>
      </c>
      <c r="C24" s="60">
        <v>17</v>
      </c>
      <c r="D24" s="60">
        <v>25</v>
      </c>
      <c r="E24" s="50">
        <f t="shared" si="7"/>
        <v>-8</v>
      </c>
      <c r="F24" s="60">
        <v>5946</v>
      </c>
      <c r="G24" s="60">
        <v>78</v>
      </c>
      <c r="H24" s="60">
        <v>99</v>
      </c>
      <c r="I24" s="50">
        <f t="shared" si="8"/>
        <v>-21</v>
      </c>
      <c r="J24" s="60">
        <v>7224</v>
      </c>
      <c r="K24" s="60">
        <v>109</v>
      </c>
      <c r="L24" s="60">
        <v>148</v>
      </c>
      <c r="M24" s="50">
        <f t="shared" si="9"/>
        <v>-39</v>
      </c>
      <c r="N24" s="60">
        <v>2680</v>
      </c>
      <c r="O24" s="60">
        <v>47</v>
      </c>
      <c r="P24" s="60">
        <v>66</v>
      </c>
      <c r="Q24" s="50">
        <f t="shared" si="10"/>
        <v>-19</v>
      </c>
      <c r="R24" s="60">
        <v>3100</v>
      </c>
      <c r="S24" s="60">
        <v>21</v>
      </c>
      <c r="T24" s="60">
        <v>45</v>
      </c>
      <c r="U24" s="50">
        <f t="shared" si="11"/>
        <v>-24</v>
      </c>
      <c r="V24" s="60">
        <v>1352</v>
      </c>
      <c r="W24" s="60">
        <v>21</v>
      </c>
      <c r="X24" s="60">
        <v>28</v>
      </c>
      <c r="Y24" s="50">
        <f t="shared" si="12"/>
        <v>-7</v>
      </c>
      <c r="Z24" s="61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</row>
    <row r="25" spans="1:47" ht="12.75">
      <c r="A25" s="53" t="s">
        <v>67</v>
      </c>
      <c r="B25" s="60">
        <v>1827</v>
      </c>
      <c r="C25" s="60">
        <v>22</v>
      </c>
      <c r="D25" s="60">
        <v>54</v>
      </c>
      <c r="E25" s="50">
        <f t="shared" si="7"/>
        <v>-32</v>
      </c>
      <c r="F25" s="60">
        <v>5919</v>
      </c>
      <c r="G25" s="60">
        <v>143</v>
      </c>
      <c r="H25" s="60">
        <v>219</v>
      </c>
      <c r="I25" s="50">
        <f t="shared" si="8"/>
        <v>-76</v>
      </c>
      <c r="J25" s="60">
        <v>7172</v>
      </c>
      <c r="K25" s="60">
        <v>171</v>
      </c>
      <c r="L25" s="60">
        <v>260</v>
      </c>
      <c r="M25" s="50">
        <f t="shared" si="9"/>
        <v>-89</v>
      </c>
      <c r="N25" s="60">
        <v>2696</v>
      </c>
      <c r="O25" s="60">
        <v>73</v>
      </c>
      <c r="P25" s="60">
        <v>123</v>
      </c>
      <c r="Q25" s="50">
        <f t="shared" si="10"/>
        <v>-50</v>
      </c>
      <c r="R25" s="60">
        <v>3045</v>
      </c>
      <c r="S25" s="60">
        <v>28</v>
      </c>
      <c r="T25" s="60">
        <v>77</v>
      </c>
      <c r="U25" s="50">
        <f t="shared" si="11"/>
        <v>-49</v>
      </c>
      <c r="V25" s="60">
        <v>1342</v>
      </c>
      <c r="W25" s="60">
        <v>31</v>
      </c>
      <c r="X25" s="60">
        <v>48</v>
      </c>
      <c r="Y25" s="50">
        <f t="shared" si="12"/>
        <v>-17</v>
      </c>
      <c r="Z25" s="61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</row>
    <row r="26" spans="1:47" ht="12.75">
      <c r="A26" s="53" t="s">
        <v>22</v>
      </c>
      <c r="B26" s="60">
        <v>1829</v>
      </c>
      <c r="C26" s="60">
        <v>22</v>
      </c>
      <c r="D26" s="60">
        <v>25</v>
      </c>
      <c r="E26" s="50">
        <f t="shared" si="7"/>
        <v>-3</v>
      </c>
      <c r="F26" s="60">
        <v>5970</v>
      </c>
      <c r="G26" s="60">
        <v>94</v>
      </c>
      <c r="H26" s="60">
        <v>98</v>
      </c>
      <c r="I26" s="50">
        <f t="shared" si="8"/>
        <v>-4</v>
      </c>
      <c r="J26" s="60">
        <v>7202</v>
      </c>
      <c r="K26" s="60">
        <v>118</v>
      </c>
      <c r="L26" s="60">
        <v>122</v>
      </c>
      <c r="M26" s="50">
        <f t="shared" si="9"/>
        <v>-4</v>
      </c>
      <c r="N26" s="60">
        <v>2715</v>
      </c>
      <c r="O26" s="60">
        <v>48</v>
      </c>
      <c r="P26" s="60">
        <v>74</v>
      </c>
      <c r="Q26" s="50">
        <f t="shared" si="10"/>
        <v>-26</v>
      </c>
      <c r="R26" s="60">
        <v>3032</v>
      </c>
      <c r="S26" s="60">
        <v>38</v>
      </c>
      <c r="T26" s="60">
        <v>55</v>
      </c>
      <c r="U26" s="50">
        <f t="shared" si="11"/>
        <v>-17</v>
      </c>
      <c r="V26" s="60">
        <v>1346</v>
      </c>
      <c r="W26" s="60">
        <v>31</v>
      </c>
      <c r="X26" s="60">
        <v>27</v>
      </c>
      <c r="Y26" s="50">
        <f t="shared" si="12"/>
        <v>4</v>
      </c>
      <c r="Z26" s="61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</row>
    <row r="27" spans="1:47" ht="12.75">
      <c r="A27" s="53" t="s">
        <v>23</v>
      </c>
      <c r="B27" s="60">
        <v>1833</v>
      </c>
      <c r="C27" s="60">
        <v>15</v>
      </c>
      <c r="D27" s="60">
        <v>18</v>
      </c>
      <c r="E27" s="50">
        <f t="shared" si="7"/>
        <v>-3</v>
      </c>
      <c r="F27" s="60">
        <v>5984</v>
      </c>
      <c r="G27" s="60">
        <v>69</v>
      </c>
      <c r="H27" s="60">
        <v>85</v>
      </c>
      <c r="I27" s="50">
        <f t="shared" si="8"/>
        <v>-16</v>
      </c>
      <c r="J27" s="60">
        <v>7243</v>
      </c>
      <c r="K27" s="60">
        <v>119</v>
      </c>
      <c r="L27" s="60">
        <v>105</v>
      </c>
      <c r="M27" s="50">
        <f t="shared" si="9"/>
        <v>14</v>
      </c>
      <c r="N27" s="60">
        <v>2739</v>
      </c>
      <c r="O27" s="60">
        <v>43</v>
      </c>
      <c r="P27" s="60">
        <v>57</v>
      </c>
      <c r="Q27" s="50">
        <f t="shared" si="10"/>
        <v>-14</v>
      </c>
      <c r="R27" s="60">
        <v>3023</v>
      </c>
      <c r="S27" s="60">
        <v>24</v>
      </c>
      <c r="T27" s="60">
        <v>45</v>
      </c>
      <c r="U27" s="50">
        <f t="shared" si="11"/>
        <v>-21</v>
      </c>
      <c r="V27" s="60">
        <v>1357</v>
      </c>
      <c r="W27" s="60">
        <v>18</v>
      </c>
      <c r="X27" s="60">
        <v>19</v>
      </c>
      <c r="Y27" s="50">
        <f t="shared" si="12"/>
        <v>-1</v>
      </c>
      <c r="Z27" s="61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</row>
    <row r="28" spans="1:47" ht="12.75">
      <c r="A28" s="53" t="s">
        <v>24</v>
      </c>
      <c r="B28" s="60">
        <v>1824</v>
      </c>
      <c r="C28" s="60">
        <v>17</v>
      </c>
      <c r="D28" s="60">
        <v>37</v>
      </c>
      <c r="E28" s="50">
        <f t="shared" si="7"/>
        <v>-20</v>
      </c>
      <c r="F28" s="60">
        <v>5945</v>
      </c>
      <c r="G28" s="60">
        <v>67</v>
      </c>
      <c r="H28" s="60">
        <v>130</v>
      </c>
      <c r="I28" s="50">
        <f t="shared" si="8"/>
        <v>-63</v>
      </c>
      <c r="J28" s="60">
        <v>7214</v>
      </c>
      <c r="K28" s="60">
        <v>106</v>
      </c>
      <c r="L28" s="60">
        <v>165</v>
      </c>
      <c r="M28" s="50">
        <f t="shared" si="9"/>
        <v>-59</v>
      </c>
      <c r="N28" s="60">
        <v>2724</v>
      </c>
      <c r="O28" s="60">
        <v>45</v>
      </c>
      <c r="P28" s="60">
        <v>112</v>
      </c>
      <c r="Q28" s="50">
        <f t="shared" si="10"/>
        <v>-67</v>
      </c>
      <c r="R28" s="60">
        <v>2974</v>
      </c>
      <c r="S28" s="60">
        <v>22</v>
      </c>
      <c r="T28" s="60">
        <v>70</v>
      </c>
      <c r="U28" s="50">
        <f t="shared" si="11"/>
        <v>-48</v>
      </c>
      <c r="V28" s="60">
        <v>1358</v>
      </c>
      <c r="W28" s="60">
        <v>27</v>
      </c>
      <c r="X28" s="60">
        <v>33</v>
      </c>
      <c r="Y28" s="50">
        <f t="shared" si="12"/>
        <v>-6</v>
      </c>
      <c r="Z28" s="61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</row>
    <row r="29" spans="1:47" ht="12.75">
      <c r="A29" s="53" t="s">
        <v>69</v>
      </c>
      <c r="B29" s="60">
        <v>1847</v>
      </c>
      <c r="C29" s="60">
        <v>25</v>
      </c>
      <c r="D29" s="60">
        <v>37</v>
      </c>
      <c r="E29" s="50">
        <f t="shared" si="7"/>
        <v>-12</v>
      </c>
      <c r="F29" s="60">
        <v>6045</v>
      </c>
      <c r="G29" s="60">
        <v>138</v>
      </c>
      <c r="H29" s="60">
        <v>239</v>
      </c>
      <c r="I29" s="50">
        <f t="shared" si="8"/>
        <v>-101</v>
      </c>
      <c r="J29" s="60">
        <v>7202</v>
      </c>
      <c r="K29" s="60">
        <v>160</v>
      </c>
      <c r="L29" s="60">
        <v>279</v>
      </c>
      <c r="M29" s="50">
        <f t="shared" si="9"/>
        <v>-119</v>
      </c>
      <c r="N29" s="60">
        <v>2794</v>
      </c>
      <c r="O29" s="60">
        <v>61</v>
      </c>
      <c r="P29" s="60">
        <v>98</v>
      </c>
      <c r="Q29" s="50">
        <f t="shared" si="10"/>
        <v>-37</v>
      </c>
      <c r="R29" s="60">
        <v>2977</v>
      </c>
      <c r="S29" s="60">
        <v>23</v>
      </c>
      <c r="T29" s="60">
        <v>77</v>
      </c>
      <c r="U29" s="50">
        <f t="shared" si="11"/>
        <v>-54</v>
      </c>
      <c r="V29" s="60">
        <v>1353</v>
      </c>
      <c r="W29" s="60">
        <v>19</v>
      </c>
      <c r="X29" s="60">
        <v>55</v>
      </c>
      <c r="Y29" s="50">
        <f t="shared" si="12"/>
        <v>-36</v>
      </c>
      <c r="Z29" s="61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</row>
    <row r="30" spans="1:47" ht="12.75">
      <c r="A30" s="53" t="s">
        <v>22</v>
      </c>
      <c r="B30" s="60">
        <v>1852</v>
      </c>
      <c r="C30" s="60">
        <v>22</v>
      </c>
      <c r="D30" s="60">
        <v>34</v>
      </c>
      <c r="E30" s="50">
        <f t="shared" si="7"/>
        <v>-12</v>
      </c>
      <c r="F30" s="60">
        <v>6093</v>
      </c>
      <c r="G30" s="60">
        <v>109</v>
      </c>
      <c r="H30" s="60">
        <v>160</v>
      </c>
      <c r="I30" s="50">
        <f t="shared" si="8"/>
        <v>-51</v>
      </c>
      <c r="J30" s="60">
        <v>7199</v>
      </c>
      <c r="K30" s="60">
        <v>116</v>
      </c>
      <c r="L30" s="60">
        <v>168</v>
      </c>
      <c r="M30" s="50">
        <f t="shared" si="9"/>
        <v>-52</v>
      </c>
      <c r="N30" s="60">
        <v>2817</v>
      </c>
      <c r="O30" s="60">
        <v>47</v>
      </c>
      <c r="P30" s="60">
        <v>81</v>
      </c>
      <c r="Q30" s="50">
        <f t="shared" si="10"/>
        <v>-34</v>
      </c>
      <c r="R30" s="60">
        <v>2941</v>
      </c>
      <c r="S30" s="60">
        <v>15</v>
      </c>
      <c r="T30" s="60">
        <v>77</v>
      </c>
      <c r="U30" s="50">
        <f t="shared" si="11"/>
        <v>-62</v>
      </c>
      <c r="V30" s="60">
        <v>1348</v>
      </c>
      <c r="W30" s="60">
        <v>26</v>
      </c>
      <c r="X30" s="60">
        <v>49</v>
      </c>
      <c r="Y30" s="50">
        <f t="shared" si="12"/>
        <v>-23</v>
      </c>
      <c r="Z30" s="61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</row>
    <row r="31" spans="1:47" ht="12.75">
      <c r="A31" s="53" t="s">
        <v>23</v>
      </c>
      <c r="B31" s="60">
        <v>1859</v>
      </c>
      <c r="C31" s="60">
        <v>13</v>
      </c>
      <c r="D31" s="60">
        <v>17</v>
      </c>
      <c r="E31" s="50">
        <f t="shared" si="7"/>
        <v>-4</v>
      </c>
      <c r="F31" s="60">
        <v>6088</v>
      </c>
      <c r="G31" s="60">
        <v>92</v>
      </c>
      <c r="H31" s="60">
        <v>158</v>
      </c>
      <c r="I31" s="50">
        <f t="shared" si="8"/>
        <v>-66</v>
      </c>
      <c r="J31" s="60">
        <v>7200</v>
      </c>
      <c r="K31" s="60">
        <v>118</v>
      </c>
      <c r="L31" s="60">
        <v>143</v>
      </c>
      <c r="M31" s="50">
        <f t="shared" si="9"/>
        <v>-25</v>
      </c>
      <c r="N31" s="60">
        <v>2825</v>
      </c>
      <c r="O31" s="60">
        <v>43</v>
      </c>
      <c r="P31" s="60">
        <v>86</v>
      </c>
      <c r="Q31" s="50">
        <f t="shared" si="10"/>
        <v>-43</v>
      </c>
      <c r="R31" s="60">
        <v>2927</v>
      </c>
      <c r="S31" s="60">
        <v>25</v>
      </c>
      <c r="T31" s="60">
        <v>45</v>
      </c>
      <c r="U31" s="50">
        <f t="shared" si="11"/>
        <v>-20</v>
      </c>
      <c r="V31" s="60">
        <v>1354</v>
      </c>
      <c r="W31" s="60">
        <v>26</v>
      </c>
      <c r="X31" s="60">
        <v>32</v>
      </c>
      <c r="Y31" s="50">
        <f t="shared" si="12"/>
        <v>-6</v>
      </c>
      <c r="Z31" s="61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</row>
    <row r="32" spans="1:47" ht="12.75">
      <c r="A32" s="53" t="s">
        <v>24</v>
      </c>
      <c r="B32" s="60">
        <v>1849</v>
      </c>
      <c r="C32" s="60">
        <v>19</v>
      </c>
      <c r="D32" s="60">
        <v>33</v>
      </c>
      <c r="E32" s="50">
        <f t="shared" si="7"/>
        <v>-14</v>
      </c>
      <c r="F32" s="60">
        <v>6039</v>
      </c>
      <c r="G32" s="60">
        <v>83</v>
      </c>
      <c r="H32" s="60">
        <v>154</v>
      </c>
      <c r="I32" s="50">
        <f t="shared" si="8"/>
        <v>-71</v>
      </c>
      <c r="J32" s="60">
        <v>7174</v>
      </c>
      <c r="K32" s="60">
        <v>95</v>
      </c>
      <c r="L32" s="60">
        <v>152</v>
      </c>
      <c r="M32" s="50">
        <f t="shared" si="9"/>
        <v>-57</v>
      </c>
      <c r="N32" s="60">
        <v>2820</v>
      </c>
      <c r="O32" s="60">
        <v>42</v>
      </c>
      <c r="P32" s="60">
        <v>92</v>
      </c>
      <c r="Q32" s="50">
        <f t="shared" si="10"/>
        <v>-50</v>
      </c>
      <c r="R32" s="60">
        <v>2893</v>
      </c>
      <c r="S32" s="60">
        <v>16</v>
      </c>
      <c r="T32" s="60">
        <v>51</v>
      </c>
      <c r="U32" s="50">
        <f t="shared" si="11"/>
        <v>-35</v>
      </c>
      <c r="V32" s="60">
        <v>1351</v>
      </c>
      <c r="W32" s="60">
        <v>18</v>
      </c>
      <c r="X32" s="60">
        <v>36</v>
      </c>
      <c r="Y32" s="50">
        <f t="shared" si="12"/>
        <v>-18</v>
      </c>
      <c r="Z32" s="61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</row>
    <row r="33" spans="1:47" ht="12.75">
      <c r="A33" s="53" t="s">
        <v>72</v>
      </c>
      <c r="B33" s="60">
        <v>1847</v>
      </c>
      <c r="C33" s="60">
        <v>34</v>
      </c>
      <c r="D33" s="60">
        <v>36</v>
      </c>
      <c r="E33" s="50">
        <f t="shared" si="7"/>
        <v>-2</v>
      </c>
      <c r="F33" s="60">
        <v>5985</v>
      </c>
      <c r="G33" s="60">
        <v>128</v>
      </c>
      <c r="H33" s="60">
        <v>198</v>
      </c>
      <c r="I33" s="50">
        <f t="shared" si="8"/>
        <v>-70</v>
      </c>
      <c r="J33" s="60">
        <v>7114</v>
      </c>
      <c r="K33" s="60">
        <v>130</v>
      </c>
      <c r="L33" s="60">
        <v>245</v>
      </c>
      <c r="M33" s="50">
        <f t="shared" si="9"/>
        <v>-115</v>
      </c>
      <c r="N33" s="60">
        <v>2822</v>
      </c>
      <c r="O33" s="60">
        <v>58</v>
      </c>
      <c r="P33" s="60">
        <v>80</v>
      </c>
      <c r="Q33" s="50">
        <f t="shared" si="10"/>
        <v>-22</v>
      </c>
      <c r="R33" s="60">
        <v>2861</v>
      </c>
      <c r="S33" s="60">
        <v>30</v>
      </c>
      <c r="T33" s="60">
        <v>77</v>
      </c>
      <c r="U33" s="50">
        <f t="shared" si="11"/>
        <v>-47</v>
      </c>
      <c r="V33" s="60">
        <v>1346</v>
      </c>
      <c r="W33" s="60">
        <v>29</v>
      </c>
      <c r="X33" s="60">
        <v>48</v>
      </c>
      <c r="Y33" s="50">
        <f t="shared" si="12"/>
        <v>-19</v>
      </c>
      <c r="Z33" s="61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</row>
    <row r="34" spans="1:47" ht="12.75">
      <c r="A34" s="53" t="s">
        <v>22</v>
      </c>
      <c r="B34" s="60">
        <v>1846</v>
      </c>
      <c r="C34" s="60">
        <v>16</v>
      </c>
      <c r="D34" s="60">
        <v>18</v>
      </c>
      <c r="E34" s="50">
        <f t="shared" si="7"/>
        <v>-2</v>
      </c>
      <c r="F34" s="60">
        <v>6052</v>
      </c>
      <c r="G34" s="60">
        <v>104</v>
      </c>
      <c r="H34" s="60">
        <v>76</v>
      </c>
      <c r="I34" s="50">
        <f t="shared" si="8"/>
        <v>28</v>
      </c>
      <c r="J34" s="60">
        <v>7181</v>
      </c>
      <c r="K34" s="60">
        <v>126</v>
      </c>
      <c r="L34" s="60">
        <v>75</v>
      </c>
      <c r="M34" s="50">
        <f t="shared" si="9"/>
        <v>51</v>
      </c>
      <c r="N34" s="60">
        <v>2826</v>
      </c>
      <c r="O34" s="60">
        <v>39</v>
      </c>
      <c r="P34" s="60">
        <v>48</v>
      </c>
      <c r="Q34" s="50">
        <f t="shared" si="10"/>
        <v>-9</v>
      </c>
      <c r="R34" s="60">
        <v>2838</v>
      </c>
      <c r="S34" s="60">
        <v>18</v>
      </c>
      <c r="T34" s="60">
        <v>48</v>
      </c>
      <c r="U34" s="50">
        <f t="shared" si="11"/>
        <v>-30</v>
      </c>
      <c r="V34" s="60">
        <v>1350</v>
      </c>
      <c r="W34" s="60">
        <v>16</v>
      </c>
      <c r="X34" s="60">
        <v>17</v>
      </c>
      <c r="Y34" s="50">
        <f t="shared" si="12"/>
        <v>-1</v>
      </c>
      <c r="Z34" s="61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</row>
    <row r="35" spans="1:47" ht="12.75">
      <c r="A35" s="53" t="s">
        <v>23</v>
      </c>
      <c r="B35" s="60">
        <v>1859</v>
      </c>
      <c r="C35" s="60">
        <v>13</v>
      </c>
      <c r="D35" s="60">
        <v>14</v>
      </c>
      <c r="E35" s="50">
        <f t="shared" si="7"/>
        <v>-1</v>
      </c>
      <c r="F35" s="60">
        <v>6044</v>
      </c>
      <c r="G35" s="60">
        <v>68</v>
      </c>
      <c r="H35" s="60">
        <v>88</v>
      </c>
      <c r="I35" s="50">
        <f t="shared" si="8"/>
        <v>-20</v>
      </c>
      <c r="J35" s="60">
        <v>7200</v>
      </c>
      <c r="K35" s="60">
        <v>113</v>
      </c>
      <c r="L35" s="60">
        <v>127</v>
      </c>
      <c r="M35" s="50">
        <f t="shared" si="9"/>
        <v>-14</v>
      </c>
      <c r="N35" s="60">
        <v>2844</v>
      </c>
      <c r="O35" s="60">
        <v>46</v>
      </c>
      <c r="P35" s="60">
        <v>44</v>
      </c>
      <c r="Q35" s="50">
        <f t="shared" si="10"/>
        <v>2</v>
      </c>
      <c r="R35" s="60">
        <v>2823</v>
      </c>
      <c r="S35" s="60">
        <v>17</v>
      </c>
      <c r="T35" s="60">
        <v>36</v>
      </c>
      <c r="U35" s="50">
        <f t="shared" si="11"/>
        <v>-19</v>
      </c>
      <c r="V35" s="60">
        <v>1348</v>
      </c>
      <c r="W35" s="60">
        <v>16</v>
      </c>
      <c r="X35" s="60">
        <v>18</v>
      </c>
      <c r="Y35" s="50">
        <f t="shared" si="12"/>
        <v>-2</v>
      </c>
      <c r="Z35" s="61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</row>
    <row r="36" spans="1:47" ht="12.75">
      <c r="A36" s="53" t="s">
        <v>24</v>
      </c>
      <c r="B36" s="60">
        <v>1852</v>
      </c>
      <c r="C36" s="60">
        <v>17</v>
      </c>
      <c r="D36" s="60">
        <v>23</v>
      </c>
      <c r="E36" s="50">
        <f t="shared" si="7"/>
        <v>-6</v>
      </c>
      <c r="F36" s="60">
        <v>6044</v>
      </c>
      <c r="G36" s="60">
        <v>93</v>
      </c>
      <c r="H36" s="60">
        <v>127</v>
      </c>
      <c r="I36" s="50">
        <f t="shared" si="8"/>
        <v>-34</v>
      </c>
      <c r="J36" s="60">
        <v>7184</v>
      </c>
      <c r="K36" s="60">
        <v>103</v>
      </c>
      <c r="L36" s="60">
        <v>180</v>
      </c>
      <c r="M36" s="50">
        <f t="shared" si="9"/>
        <v>-77</v>
      </c>
      <c r="N36" s="60">
        <v>2828</v>
      </c>
      <c r="O36" s="60">
        <v>55</v>
      </c>
      <c r="P36" s="60">
        <v>102</v>
      </c>
      <c r="Q36" s="50">
        <f t="shared" si="10"/>
        <v>-47</v>
      </c>
      <c r="R36" s="60">
        <v>2795</v>
      </c>
      <c r="S36" s="60">
        <v>22</v>
      </c>
      <c r="T36" s="60">
        <v>62</v>
      </c>
      <c r="U36" s="50">
        <f t="shared" si="11"/>
        <v>-40</v>
      </c>
      <c r="V36" s="60">
        <v>1352</v>
      </c>
      <c r="W36" s="60">
        <v>14</v>
      </c>
      <c r="X36" s="60">
        <v>21</v>
      </c>
      <c r="Y36" s="50">
        <f t="shared" si="12"/>
        <v>-7</v>
      </c>
      <c r="Z36" s="61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</row>
    <row r="37" spans="1:46" ht="12.75">
      <c r="A37" s="53"/>
      <c r="B37" s="53"/>
      <c r="C37" s="60"/>
      <c r="D37" s="60"/>
      <c r="E37" s="60"/>
      <c r="F37" s="50"/>
      <c r="G37" s="60"/>
      <c r="H37" s="60"/>
      <c r="I37" s="60"/>
      <c r="J37" s="50"/>
      <c r="K37" s="60"/>
      <c r="L37" s="60"/>
      <c r="M37" s="60"/>
      <c r="N37" s="50"/>
      <c r="O37" s="60"/>
      <c r="P37" s="60"/>
      <c r="Q37" s="60"/>
      <c r="R37" s="50"/>
      <c r="S37" s="60"/>
      <c r="T37" s="60"/>
      <c r="U37" s="60"/>
      <c r="V37" s="50"/>
      <c r="W37" s="60"/>
      <c r="X37" s="60"/>
      <c r="Y37" s="60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5" ht="27.75" customHeight="1">
      <c r="A38" s="79" t="s">
        <v>1</v>
      </c>
      <c r="B38" s="84" t="s">
        <v>33</v>
      </c>
      <c r="C38" s="85"/>
      <c r="D38" s="85"/>
      <c r="E38" s="86"/>
      <c r="F38" s="84" t="s">
        <v>34</v>
      </c>
      <c r="G38" s="85"/>
      <c r="H38" s="85"/>
      <c r="I38" s="86"/>
      <c r="J38" s="81" t="s">
        <v>35</v>
      </c>
      <c r="K38" s="82"/>
      <c r="L38" s="82"/>
      <c r="M38" s="83"/>
      <c r="N38" s="81" t="s">
        <v>36</v>
      </c>
      <c r="O38" s="82"/>
      <c r="P38" s="82"/>
      <c r="Q38" s="83"/>
      <c r="R38" s="84" t="s">
        <v>37</v>
      </c>
      <c r="S38" s="85"/>
      <c r="T38" s="85"/>
      <c r="U38" s="86"/>
      <c r="V38" s="61"/>
      <c r="W38" s="61"/>
      <c r="X38" s="61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</row>
    <row r="39" spans="1:46" ht="12.75">
      <c r="A39" s="44"/>
      <c r="B39" s="46" t="s">
        <v>8</v>
      </c>
      <c r="C39" s="63" t="s">
        <v>9</v>
      </c>
      <c r="D39" s="63" t="s">
        <v>10</v>
      </c>
      <c r="E39" s="63" t="s">
        <v>11</v>
      </c>
      <c r="F39" s="46" t="s">
        <v>8</v>
      </c>
      <c r="G39" s="63" t="s">
        <v>9</v>
      </c>
      <c r="H39" s="63" t="s">
        <v>10</v>
      </c>
      <c r="I39" s="64" t="s">
        <v>11</v>
      </c>
      <c r="J39" s="46" t="s">
        <v>8</v>
      </c>
      <c r="K39" s="63" t="s">
        <v>9</v>
      </c>
      <c r="L39" s="63" t="s">
        <v>10</v>
      </c>
      <c r="M39" s="63" t="s">
        <v>11</v>
      </c>
      <c r="N39" s="73" t="s">
        <v>8</v>
      </c>
      <c r="O39" s="63" t="s">
        <v>9</v>
      </c>
      <c r="P39" s="63" t="s">
        <v>10</v>
      </c>
      <c r="Q39" s="66" t="s">
        <v>11</v>
      </c>
      <c r="R39" s="46" t="s">
        <v>8</v>
      </c>
      <c r="S39" s="63" t="s">
        <v>9</v>
      </c>
      <c r="T39" s="63" t="s">
        <v>10</v>
      </c>
      <c r="U39" s="64" t="s">
        <v>11</v>
      </c>
      <c r="V39" s="61"/>
      <c r="W39" s="61"/>
      <c r="X39" s="61"/>
      <c r="Y39" s="61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</row>
    <row r="40" spans="1:46" ht="11.25" customHeight="1">
      <c r="A40" s="49" t="s">
        <v>62</v>
      </c>
      <c r="B40" s="60">
        <v>4257</v>
      </c>
      <c r="C40" s="50">
        <f>SUM(C47:C50)</f>
        <v>211</v>
      </c>
      <c r="D40" s="50">
        <f>SUM(D47:D50)</f>
        <v>177</v>
      </c>
      <c r="E40" s="50">
        <f>C40-D40</f>
        <v>34</v>
      </c>
      <c r="F40" s="61">
        <v>953</v>
      </c>
      <c r="G40" s="50">
        <f>SUM(G47:G50)</f>
        <v>68</v>
      </c>
      <c r="H40" s="50">
        <f>SUM(H47:H50)</f>
        <v>81</v>
      </c>
      <c r="I40" s="50">
        <f>G40-H40</f>
        <v>-13</v>
      </c>
      <c r="J40" s="60">
        <v>3144</v>
      </c>
      <c r="K40" s="50">
        <f>SUM(K47:K50)</f>
        <v>244</v>
      </c>
      <c r="L40" s="50">
        <f>SUM(L47:L50)</f>
        <v>214</v>
      </c>
      <c r="M40" s="50">
        <f>K40-L40</f>
        <v>30</v>
      </c>
      <c r="N40" s="60">
        <v>3090</v>
      </c>
      <c r="O40" s="50">
        <f>SUM(O47:O50)</f>
        <v>138</v>
      </c>
      <c r="P40" s="50">
        <f>SUM(P47:P50)</f>
        <v>189</v>
      </c>
      <c r="Q40" s="50">
        <f>O40-P40</f>
        <v>-51</v>
      </c>
      <c r="R40" s="50">
        <f>B6+F6+J6+N6+R6+V6+B40+F40+J40+N40</f>
        <v>33289</v>
      </c>
      <c r="S40" s="50">
        <f>SUM(S47:S50)</f>
        <v>2149</v>
      </c>
      <c r="T40" s="50">
        <f>SUM(T47:T50)</f>
        <v>2173</v>
      </c>
      <c r="U40" s="50">
        <f>S40-T40</f>
        <v>-24</v>
      </c>
      <c r="V40" s="61"/>
      <c r="W40" s="61"/>
      <c r="X40" s="61"/>
      <c r="Y40" s="61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</row>
    <row r="41" spans="1:46" ht="12.75">
      <c r="A41" s="49" t="s">
        <v>64</v>
      </c>
      <c r="B41" s="60">
        <f>B54</f>
        <v>4626</v>
      </c>
      <c r="C41" s="50">
        <f>SUM(C51:C54)</f>
        <v>212</v>
      </c>
      <c r="D41" s="50">
        <f>SUM(D51:D54)</f>
        <v>204</v>
      </c>
      <c r="E41" s="50">
        <f>C41-D41</f>
        <v>8</v>
      </c>
      <c r="F41" s="60">
        <f>F54</f>
        <v>969</v>
      </c>
      <c r="G41" s="50">
        <f>SUM(G55:G58)</f>
        <v>76</v>
      </c>
      <c r="H41" s="50">
        <f>SUM(H51:H54)</f>
        <v>72</v>
      </c>
      <c r="I41" s="50">
        <f>G41-H41</f>
        <v>4</v>
      </c>
      <c r="J41" s="60">
        <f>J54</f>
        <v>3239</v>
      </c>
      <c r="K41" s="50">
        <f>SUM(K51:K54)</f>
        <v>231</v>
      </c>
      <c r="L41" s="50">
        <f>SUM(L51:L54)</f>
        <v>230</v>
      </c>
      <c r="M41" s="50">
        <f>K41-L41</f>
        <v>1</v>
      </c>
      <c r="N41" s="60">
        <f>N54</f>
        <v>3119</v>
      </c>
      <c r="O41" s="50">
        <f>SUM(O51:O54)</f>
        <v>120</v>
      </c>
      <c r="P41" s="50">
        <f>SUM(P51:P54)</f>
        <v>165</v>
      </c>
      <c r="Q41" s="50">
        <f>O41-P41</f>
        <v>-45</v>
      </c>
      <c r="R41" s="50">
        <f>R54</f>
        <v>33996</v>
      </c>
      <c r="S41" s="50">
        <f>SUM(S55:S58)</f>
        <v>2018</v>
      </c>
      <c r="T41" s="50">
        <f>SUM(T51:T54)</f>
        <v>2328</v>
      </c>
      <c r="U41" s="50">
        <f>S41-T41</f>
        <v>-310</v>
      </c>
      <c r="V41" s="61"/>
      <c r="W41" s="61"/>
      <c r="X41" s="61"/>
      <c r="Y41" s="61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58"/>
      <c r="AR41" s="58"/>
      <c r="AS41" s="58"/>
      <c r="AT41" s="35"/>
    </row>
    <row r="42" spans="1:46" ht="12.75">
      <c r="A42" s="49" t="s">
        <v>66</v>
      </c>
      <c r="B42" s="60">
        <f>B58</f>
        <v>4950</v>
      </c>
      <c r="C42" s="50">
        <f>SUM(C55:C58)</f>
        <v>202</v>
      </c>
      <c r="D42" s="50">
        <f>SUM(D55:D58)</f>
        <v>170</v>
      </c>
      <c r="E42" s="50">
        <f>SUM(E55:E58)</f>
        <v>32</v>
      </c>
      <c r="F42" s="60">
        <f>F58</f>
        <v>983</v>
      </c>
      <c r="G42" s="50">
        <f>SUM(G55:G58)</f>
        <v>76</v>
      </c>
      <c r="H42" s="50">
        <f>SUM(H55:H58)</f>
        <v>64</v>
      </c>
      <c r="I42" s="50">
        <f>SUM(I55:I58)</f>
        <v>12</v>
      </c>
      <c r="J42" s="60">
        <f>J58</f>
        <v>3341</v>
      </c>
      <c r="K42" s="50">
        <f>SUM(K55:K58)</f>
        <v>235</v>
      </c>
      <c r="L42" s="50">
        <f>SUM(L55:L58)</f>
        <v>233</v>
      </c>
      <c r="M42" s="50">
        <f>SUM(M55:M58)</f>
        <v>2</v>
      </c>
      <c r="N42" s="60">
        <f>N58</f>
        <v>3122</v>
      </c>
      <c r="O42" s="50">
        <f>SUM(O55:O58)</f>
        <v>132</v>
      </c>
      <c r="P42" s="50">
        <f>SUM(P55:P58)</f>
        <v>191</v>
      </c>
      <c r="Q42" s="50">
        <f>SUM(Q55:Q58)</f>
        <v>-59</v>
      </c>
      <c r="R42" s="50">
        <f>R58</f>
        <v>34544</v>
      </c>
      <c r="S42" s="50">
        <f>SUM(S55:S58)</f>
        <v>2018</v>
      </c>
      <c r="T42" s="50">
        <f>SUM(T55:T58)</f>
        <v>2341</v>
      </c>
      <c r="U42" s="50">
        <f>SUM(U55:U58)</f>
        <v>-323</v>
      </c>
      <c r="V42" s="61"/>
      <c r="W42" s="61"/>
      <c r="X42" s="61"/>
      <c r="Y42" s="61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58"/>
      <c r="AR42" s="58"/>
      <c r="AS42" s="58"/>
      <c r="AT42" s="35"/>
    </row>
    <row r="43" spans="1:46" ht="12.75">
      <c r="A43" s="49" t="s">
        <v>68</v>
      </c>
      <c r="B43" s="60">
        <f>B62</f>
        <v>5092</v>
      </c>
      <c r="C43" s="50">
        <f>SUM(C59:C62)</f>
        <v>187</v>
      </c>
      <c r="D43" s="50">
        <f>SUM(D59:D62)</f>
        <v>268</v>
      </c>
      <c r="E43" s="50">
        <f>SUM(E59:E62)</f>
        <v>-81</v>
      </c>
      <c r="F43" s="60">
        <f>F62</f>
        <v>983</v>
      </c>
      <c r="G43" s="50">
        <f aca="true" t="shared" si="13" ref="G43:U43">SUM(G59:G62)</f>
        <v>83</v>
      </c>
      <c r="H43" s="50">
        <f t="shared" si="13"/>
        <v>95</v>
      </c>
      <c r="I43" s="50">
        <f t="shared" si="13"/>
        <v>-12</v>
      </c>
      <c r="J43" s="60">
        <f>J62</f>
        <v>3441</v>
      </c>
      <c r="K43" s="50">
        <f>SUM(K59:K62)</f>
        <v>243</v>
      </c>
      <c r="L43" s="50">
        <f t="shared" si="13"/>
        <v>302</v>
      </c>
      <c r="M43" s="50">
        <f t="shared" si="13"/>
        <v>-59</v>
      </c>
      <c r="N43" s="60">
        <f>N62</f>
        <v>3141</v>
      </c>
      <c r="O43" s="50">
        <f>SUM(O59:O62)</f>
        <v>142</v>
      </c>
      <c r="P43" s="50">
        <f t="shared" si="13"/>
        <v>219</v>
      </c>
      <c r="Q43" s="50">
        <f t="shared" si="13"/>
        <v>-77</v>
      </c>
      <c r="R43" s="60">
        <f>R62</f>
        <v>34696</v>
      </c>
      <c r="S43" s="50">
        <f>SUM(S59:S62)</f>
        <v>2046</v>
      </c>
      <c r="T43" s="50">
        <f t="shared" si="13"/>
        <v>2942</v>
      </c>
      <c r="U43" s="50">
        <f t="shared" si="13"/>
        <v>-896</v>
      </c>
      <c r="V43" s="61"/>
      <c r="W43" s="61"/>
      <c r="X43" s="61"/>
      <c r="Y43" s="61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58"/>
      <c r="AR43" s="58"/>
      <c r="AS43" s="58"/>
      <c r="AT43" s="35"/>
    </row>
    <row r="44" spans="1:46" ht="12.75">
      <c r="A44" s="49" t="s">
        <v>70</v>
      </c>
      <c r="B44" s="50">
        <f>B66</f>
        <v>5205</v>
      </c>
      <c r="C44" s="50">
        <f>SUM(C63:C66)</f>
        <v>145</v>
      </c>
      <c r="D44" s="50">
        <f aca="true" t="shared" si="14" ref="D44:U44">SUM(D63:D66)</f>
        <v>290</v>
      </c>
      <c r="E44" s="50">
        <f t="shared" si="14"/>
        <v>-145</v>
      </c>
      <c r="F44" s="50">
        <f>F66</f>
        <v>1014</v>
      </c>
      <c r="G44" s="50">
        <f t="shared" si="14"/>
        <v>105</v>
      </c>
      <c r="H44" s="50">
        <f t="shared" si="14"/>
        <v>99</v>
      </c>
      <c r="I44" s="50">
        <f t="shared" si="14"/>
        <v>6</v>
      </c>
      <c r="J44" s="50">
        <f>J66</f>
        <v>3596</v>
      </c>
      <c r="K44" s="50">
        <f t="shared" si="14"/>
        <v>278</v>
      </c>
      <c r="L44" s="50">
        <f t="shared" si="14"/>
        <v>365</v>
      </c>
      <c r="M44" s="50">
        <f t="shared" si="14"/>
        <v>-87</v>
      </c>
      <c r="N44" s="50">
        <f>N66</f>
        <v>3150</v>
      </c>
      <c r="O44" s="50">
        <f t="shared" si="14"/>
        <v>159</v>
      </c>
      <c r="P44" s="50">
        <f t="shared" si="14"/>
        <v>253</v>
      </c>
      <c r="Q44" s="50">
        <f t="shared" si="14"/>
        <v>-94</v>
      </c>
      <c r="R44" s="50">
        <f>R66</f>
        <v>35091</v>
      </c>
      <c r="S44" s="50">
        <f t="shared" si="14"/>
        <v>2038</v>
      </c>
      <c r="T44" s="50">
        <f t="shared" si="14"/>
        <v>3360</v>
      </c>
      <c r="U44" s="50">
        <f t="shared" si="14"/>
        <v>-1322</v>
      </c>
      <c r="V44" s="61"/>
      <c r="W44" s="61"/>
      <c r="X44" s="61"/>
      <c r="Y44" s="61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58"/>
      <c r="AR44" s="58"/>
      <c r="AS44" s="58"/>
      <c r="AT44" s="35"/>
    </row>
    <row r="45" spans="1:46" ht="12.75">
      <c r="A45" s="49" t="s">
        <v>71</v>
      </c>
      <c r="B45" s="50">
        <f>B70</f>
        <v>5208</v>
      </c>
      <c r="C45" s="50">
        <f>SUM(C67:C70)</f>
        <v>99</v>
      </c>
      <c r="D45" s="50">
        <f>SUM(D67:D70)</f>
        <v>271</v>
      </c>
      <c r="E45" s="50">
        <f>SUM(E67:E70)</f>
        <v>-172</v>
      </c>
      <c r="F45" s="50">
        <f>F70</f>
        <v>1057</v>
      </c>
      <c r="G45" s="50">
        <f>SUM(G67:G70)</f>
        <v>101</v>
      </c>
      <c r="H45" s="50">
        <f>SUM(H67:H70)</f>
        <v>69</v>
      </c>
      <c r="I45" s="50">
        <f>SUM(I67:I70)</f>
        <v>32</v>
      </c>
      <c r="J45" s="50">
        <f>J70</f>
        <v>3662</v>
      </c>
      <c r="K45" s="50">
        <f>SUM(K67:K70)</f>
        <v>286</v>
      </c>
      <c r="L45" s="50">
        <f>SUM(L67:L70)</f>
        <v>330</v>
      </c>
      <c r="M45" s="50">
        <f>SUM(M67:M70)</f>
        <v>-44</v>
      </c>
      <c r="N45" s="50">
        <f>N70</f>
        <v>3172</v>
      </c>
      <c r="O45" s="50">
        <f>SUM(O67:O70)</f>
        <v>183</v>
      </c>
      <c r="P45" s="50">
        <f aca="true" t="shared" si="15" ref="P45:U45">SUM(P67:P70)</f>
        <v>224</v>
      </c>
      <c r="Q45" s="50">
        <f t="shared" si="15"/>
        <v>-41</v>
      </c>
      <c r="R45" s="50">
        <f>R70</f>
        <v>35154</v>
      </c>
      <c r="S45" s="50">
        <f t="shared" si="15"/>
        <v>1974</v>
      </c>
      <c r="T45" s="50">
        <f t="shared" si="15"/>
        <v>2702</v>
      </c>
      <c r="U45" s="50">
        <f t="shared" si="15"/>
        <v>-728</v>
      </c>
      <c r="V45" s="61"/>
      <c r="W45" s="61"/>
      <c r="X45" s="61"/>
      <c r="Y45" s="61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58"/>
      <c r="AR45" s="58"/>
      <c r="AS45" s="58"/>
      <c r="AT45" s="35"/>
    </row>
    <row r="46" spans="1:46" ht="12.75">
      <c r="A46" s="52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61"/>
      <c r="W46" s="61"/>
      <c r="X46" s="61"/>
      <c r="Y46" s="61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58"/>
      <c r="AR46" s="58"/>
      <c r="AS46" s="58"/>
      <c r="AT46" s="35"/>
    </row>
    <row r="47" spans="1:46" ht="12.75">
      <c r="A47" s="53" t="s">
        <v>61</v>
      </c>
      <c r="B47" s="60">
        <v>3992</v>
      </c>
      <c r="C47" s="61">
        <v>56</v>
      </c>
      <c r="D47" s="61">
        <v>54</v>
      </c>
      <c r="E47" s="61">
        <f aca="true" t="shared" si="16" ref="E47:E70">C47-D47</f>
        <v>2</v>
      </c>
      <c r="F47" s="61">
        <v>941</v>
      </c>
      <c r="G47" s="61">
        <v>28</v>
      </c>
      <c r="H47" s="61">
        <v>30</v>
      </c>
      <c r="I47" s="61">
        <f aca="true" t="shared" si="17" ref="I47:I70">G47-H47</f>
        <v>-2</v>
      </c>
      <c r="J47" s="60">
        <v>3015</v>
      </c>
      <c r="K47" s="61">
        <v>77</v>
      </c>
      <c r="L47" s="61">
        <v>94</v>
      </c>
      <c r="M47" s="50">
        <f aca="true" t="shared" si="18" ref="M47:M70">K47-L47</f>
        <v>-17</v>
      </c>
      <c r="N47" s="60">
        <v>3065</v>
      </c>
      <c r="O47" s="61">
        <v>42</v>
      </c>
      <c r="P47" s="61">
        <v>71</v>
      </c>
      <c r="Q47" s="50">
        <f aca="true" t="shared" si="19" ref="Q47:Q70">O47-P47</f>
        <v>-29</v>
      </c>
      <c r="R47" s="50">
        <f aca="true" t="shared" si="20" ref="R47:R70">B13+F13+J13+N13+R13+V13+B47+F47+J47+N47</f>
        <v>32475</v>
      </c>
      <c r="S47" s="50">
        <f aca="true" t="shared" si="21" ref="S47:S70">C13+G13+K13+O13+S13+W13+C47+G47+K47+O47</f>
        <v>648</v>
      </c>
      <c r="T47" s="50">
        <f aca="true" t="shared" si="22" ref="T47:T70">D13+H13+L13+P13+T13+X13+D47+H47+L47+P47</f>
        <v>835</v>
      </c>
      <c r="U47" s="50">
        <f aca="true" t="shared" si="23" ref="U47:U52">S47-T47</f>
        <v>-187</v>
      </c>
      <c r="V47" s="61"/>
      <c r="W47" s="61"/>
      <c r="X47" s="61"/>
      <c r="Y47" s="61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58"/>
      <c r="AR47" s="58"/>
      <c r="AS47" s="58"/>
      <c r="AT47" s="35"/>
    </row>
    <row r="48" spans="1:46" ht="12.75">
      <c r="A48" s="53" t="s">
        <v>22</v>
      </c>
      <c r="B48" s="60">
        <v>4109</v>
      </c>
      <c r="C48" s="60">
        <v>55</v>
      </c>
      <c r="D48" s="60">
        <v>26</v>
      </c>
      <c r="E48" s="60">
        <f t="shared" si="16"/>
        <v>29</v>
      </c>
      <c r="F48" s="60">
        <v>953</v>
      </c>
      <c r="G48" s="60">
        <v>16</v>
      </c>
      <c r="H48" s="60">
        <v>15</v>
      </c>
      <c r="I48" s="60">
        <f t="shared" si="17"/>
        <v>1</v>
      </c>
      <c r="J48" s="60">
        <v>3084</v>
      </c>
      <c r="K48" s="60">
        <v>69</v>
      </c>
      <c r="L48" s="60">
        <v>35</v>
      </c>
      <c r="M48" s="60">
        <f t="shared" si="18"/>
        <v>34</v>
      </c>
      <c r="N48" s="60">
        <v>3084</v>
      </c>
      <c r="O48" s="60">
        <v>37</v>
      </c>
      <c r="P48" s="60">
        <v>43</v>
      </c>
      <c r="Q48" s="60">
        <f t="shared" si="19"/>
        <v>-6</v>
      </c>
      <c r="R48" s="50">
        <f t="shared" si="20"/>
        <v>32899</v>
      </c>
      <c r="S48" s="50">
        <f t="shared" si="21"/>
        <v>570</v>
      </c>
      <c r="T48" s="50">
        <f t="shared" si="22"/>
        <v>413</v>
      </c>
      <c r="U48" s="60">
        <f t="shared" si="23"/>
        <v>157</v>
      </c>
      <c r="V48" s="61"/>
      <c r="W48" s="61"/>
      <c r="X48" s="61"/>
      <c r="Y48" s="61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58"/>
      <c r="AR48" s="58"/>
      <c r="AS48" s="58"/>
      <c r="AT48" s="35"/>
    </row>
    <row r="49" spans="1:46" ht="12.75">
      <c r="A49" s="53" t="s">
        <v>23</v>
      </c>
      <c r="B49" s="60">
        <v>4206</v>
      </c>
      <c r="C49" s="60">
        <v>46</v>
      </c>
      <c r="D49" s="60">
        <v>27</v>
      </c>
      <c r="E49" s="60">
        <f t="shared" si="16"/>
        <v>19</v>
      </c>
      <c r="F49" s="60">
        <v>956</v>
      </c>
      <c r="G49" s="60">
        <v>11</v>
      </c>
      <c r="H49" s="60">
        <v>16</v>
      </c>
      <c r="I49" s="60">
        <f t="shared" si="17"/>
        <v>-5</v>
      </c>
      <c r="J49" s="60">
        <v>3125</v>
      </c>
      <c r="K49" s="60">
        <v>55</v>
      </c>
      <c r="L49" s="60">
        <v>32</v>
      </c>
      <c r="M49" s="60">
        <f t="shared" si="18"/>
        <v>23</v>
      </c>
      <c r="N49" s="60">
        <v>3090</v>
      </c>
      <c r="O49" s="60">
        <v>29</v>
      </c>
      <c r="P49" s="60">
        <v>35</v>
      </c>
      <c r="Q49" s="60">
        <f t="shared" si="19"/>
        <v>-6</v>
      </c>
      <c r="R49" s="50">
        <f t="shared" si="20"/>
        <v>33212</v>
      </c>
      <c r="S49" s="50">
        <f t="shared" si="21"/>
        <v>485</v>
      </c>
      <c r="T49" s="50">
        <f t="shared" si="22"/>
        <v>409</v>
      </c>
      <c r="U49" s="60">
        <f t="shared" si="23"/>
        <v>76</v>
      </c>
      <c r="V49" s="61"/>
      <c r="W49" s="61"/>
      <c r="X49" s="61"/>
      <c r="Y49" s="61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58"/>
      <c r="AR49" s="58"/>
      <c r="AS49" s="58"/>
      <c r="AT49" s="35"/>
    </row>
    <row r="50" spans="1:46" ht="12.75">
      <c r="A50" s="53" t="s">
        <v>24</v>
      </c>
      <c r="B50" s="60">
        <v>4257</v>
      </c>
      <c r="C50" s="60">
        <v>54</v>
      </c>
      <c r="D50" s="60">
        <v>70</v>
      </c>
      <c r="E50" s="60">
        <f t="shared" si="16"/>
        <v>-16</v>
      </c>
      <c r="F50" s="60">
        <v>953</v>
      </c>
      <c r="G50" s="60">
        <v>13</v>
      </c>
      <c r="H50" s="60">
        <v>20</v>
      </c>
      <c r="I50" s="60">
        <f t="shared" si="17"/>
        <v>-7</v>
      </c>
      <c r="J50" s="60">
        <v>3144</v>
      </c>
      <c r="K50" s="60">
        <v>43</v>
      </c>
      <c r="L50" s="60">
        <v>53</v>
      </c>
      <c r="M50" s="60">
        <f t="shared" si="18"/>
        <v>-10</v>
      </c>
      <c r="N50" s="60">
        <v>3090</v>
      </c>
      <c r="O50" s="60">
        <v>30</v>
      </c>
      <c r="P50" s="60">
        <v>40</v>
      </c>
      <c r="Q50" s="60">
        <f t="shared" si="19"/>
        <v>-10</v>
      </c>
      <c r="R50" s="50">
        <f t="shared" si="20"/>
        <v>33289</v>
      </c>
      <c r="S50" s="50">
        <f t="shared" si="21"/>
        <v>446</v>
      </c>
      <c r="T50" s="50">
        <f t="shared" si="22"/>
        <v>516</v>
      </c>
      <c r="U50" s="60">
        <f t="shared" si="23"/>
        <v>-70</v>
      </c>
      <c r="V50" s="61"/>
      <c r="W50" s="61"/>
      <c r="X50" s="61"/>
      <c r="Y50" s="61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58"/>
      <c r="AR50" s="58"/>
      <c r="AS50" s="58"/>
      <c r="AT50" s="35"/>
    </row>
    <row r="51" spans="1:46" ht="12.75">
      <c r="A51" s="53" t="s">
        <v>63</v>
      </c>
      <c r="B51" s="60">
        <v>4358</v>
      </c>
      <c r="C51" s="60">
        <v>61</v>
      </c>
      <c r="D51" s="60">
        <v>68</v>
      </c>
      <c r="E51" s="60">
        <f t="shared" si="16"/>
        <v>-7</v>
      </c>
      <c r="F51" s="60">
        <v>964</v>
      </c>
      <c r="G51" s="60">
        <v>28</v>
      </c>
      <c r="H51" s="60">
        <v>33</v>
      </c>
      <c r="I51" s="60">
        <f t="shared" si="17"/>
        <v>-5</v>
      </c>
      <c r="J51" s="60">
        <v>3138</v>
      </c>
      <c r="K51" s="60">
        <v>72</v>
      </c>
      <c r="L51" s="60">
        <v>108</v>
      </c>
      <c r="M51" s="60">
        <f t="shared" si="18"/>
        <v>-36</v>
      </c>
      <c r="N51" s="60">
        <v>3080</v>
      </c>
      <c r="O51" s="60">
        <v>36</v>
      </c>
      <c r="P51" s="60">
        <v>67</v>
      </c>
      <c r="Q51" s="60">
        <f t="shared" si="19"/>
        <v>-31</v>
      </c>
      <c r="R51" s="50">
        <f t="shared" si="20"/>
        <v>33277</v>
      </c>
      <c r="S51" s="50">
        <f t="shared" si="21"/>
        <v>584</v>
      </c>
      <c r="T51" s="50">
        <f t="shared" si="22"/>
        <v>863</v>
      </c>
      <c r="U51" s="60">
        <f t="shared" si="23"/>
        <v>-279</v>
      </c>
      <c r="V51" s="61"/>
      <c r="W51" s="61"/>
      <c r="X51" s="61"/>
      <c r="Y51" s="61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58"/>
      <c r="AR51" s="58"/>
      <c r="AS51" s="58"/>
      <c r="AT51" s="35"/>
    </row>
    <row r="52" spans="1:46" ht="12.75" customHeight="1">
      <c r="A52" s="53" t="s">
        <v>22</v>
      </c>
      <c r="B52" s="60">
        <v>4486</v>
      </c>
      <c r="C52" s="60">
        <v>61</v>
      </c>
      <c r="D52" s="60">
        <v>37</v>
      </c>
      <c r="E52" s="60">
        <f t="shared" si="16"/>
        <v>24</v>
      </c>
      <c r="F52" s="60">
        <v>988</v>
      </c>
      <c r="G52" s="60">
        <v>18</v>
      </c>
      <c r="H52" s="60">
        <v>10</v>
      </c>
      <c r="I52" s="60">
        <f t="shared" si="17"/>
        <v>8</v>
      </c>
      <c r="J52" s="60">
        <f>198+32+2961</f>
        <v>3191</v>
      </c>
      <c r="K52" s="60">
        <f>6+1+59</f>
        <v>66</v>
      </c>
      <c r="L52" s="60">
        <f>3+0+40</f>
        <v>43</v>
      </c>
      <c r="M52" s="60">
        <f t="shared" si="18"/>
        <v>23</v>
      </c>
      <c r="N52" s="60">
        <f>153+195+2737</f>
        <v>3085</v>
      </c>
      <c r="O52" s="60">
        <f>3+1+27</f>
        <v>31</v>
      </c>
      <c r="P52" s="60">
        <f>0+3+37</f>
        <v>40</v>
      </c>
      <c r="Q52" s="60">
        <f t="shared" si="19"/>
        <v>-9</v>
      </c>
      <c r="R52" s="50">
        <f t="shared" si="20"/>
        <v>33739</v>
      </c>
      <c r="S52" s="50">
        <f t="shared" si="21"/>
        <v>661</v>
      </c>
      <c r="T52" s="50">
        <f t="shared" si="22"/>
        <v>458</v>
      </c>
      <c r="U52" s="60">
        <f t="shared" si="23"/>
        <v>203</v>
      </c>
      <c r="V52" s="61"/>
      <c r="W52" s="61"/>
      <c r="X52" s="61"/>
      <c r="Y52" s="61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58"/>
      <c r="AR52" s="58"/>
      <c r="AS52" s="58"/>
      <c r="AT52" s="35"/>
    </row>
    <row r="53" spans="1:46" ht="12.75">
      <c r="A53" s="53" t="s">
        <v>23</v>
      </c>
      <c r="B53" s="60">
        <v>4554</v>
      </c>
      <c r="C53" s="60">
        <v>45</v>
      </c>
      <c r="D53" s="60">
        <v>21</v>
      </c>
      <c r="E53" s="60">
        <f t="shared" si="16"/>
        <v>24</v>
      </c>
      <c r="F53" s="60">
        <v>993</v>
      </c>
      <c r="G53" s="60">
        <v>13</v>
      </c>
      <c r="H53" s="60">
        <v>8</v>
      </c>
      <c r="I53" s="60">
        <f t="shared" si="17"/>
        <v>5</v>
      </c>
      <c r="J53" s="60">
        <f>200+31+2993</f>
        <v>3224</v>
      </c>
      <c r="K53" s="60">
        <f>5+42</f>
        <v>47</v>
      </c>
      <c r="L53" s="60">
        <v>31</v>
      </c>
      <c r="M53" s="60">
        <f t="shared" si="18"/>
        <v>16</v>
      </c>
      <c r="N53" s="60">
        <f>158+203+59+13+630+2048</f>
        <v>3111</v>
      </c>
      <c r="O53" s="60">
        <f>3+1+10+14</f>
        <v>28</v>
      </c>
      <c r="P53" s="60">
        <f>1+6+13</f>
        <v>20</v>
      </c>
      <c r="Q53" s="60">
        <f t="shared" si="19"/>
        <v>8</v>
      </c>
      <c r="R53" s="50">
        <f t="shared" si="20"/>
        <v>33925</v>
      </c>
      <c r="S53" s="50">
        <f t="shared" si="21"/>
        <v>432</v>
      </c>
      <c r="T53" s="50">
        <f t="shared" si="22"/>
        <v>405</v>
      </c>
      <c r="U53" s="50">
        <f>E19+I19+M19+Q19+U19+Y19+E53+I53+M53+Q53</f>
        <v>27</v>
      </c>
      <c r="V53" s="61"/>
      <c r="W53" s="61"/>
      <c r="X53" s="61"/>
      <c r="Y53" s="61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58"/>
      <c r="AR53" s="58"/>
      <c r="AS53" s="58"/>
      <c r="AT53" s="35"/>
    </row>
    <row r="54" spans="1:46" ht="12.75">
      <c r="A54" s="53" t="s">
        <v>24</v>
      </c>
      <c r="B54" s="60">
        <v>4626</v>
      </c>
      <c r="C54" s="60">
        <v>45</v>
      </c>
      <c r="D54" s="60">
        <v>78</v>
      </c>
      <c r="E54" s="60">
        <f t="shared" si="16"/>
        <v>-33</v>
      </c>
      <c r="F54" s="60">
        <v>969</v>
      </c>
      <c r="G54" s="60">
        <v>17</v>
      </c>
      <c r="H54" s="60">
        <v>21</v>
      </c>
      <c r="I54" s="60">
        <f t="shared" si="17"/>
        <v>-4</v>
      </c>
      <c r="J54" s="60">
        <f>202+30+3007</f>
        <v>3239</v>
      </c>
      <c r="K54" s="60">
        <f>4+1+41</f>
        <v>46</v>
      </c>
      <c r="L54" s="60">
        <f>4+1+43</f>
        <v>48</v>
      </c>
      <c r="M54" s="60">
        <f t="shared" si="18"/>
        <v>-2</v>
      </c>
      <c r="N54" s="60">
        <f>163+209+57+9+625+2056</f>
        <v>3119</v>
      </c>
      <c r="O54" s="60">
        <f>1+2+6+16</f>
        <v>25</v>
      </c>
      <c r="P54" s="60">
        <f>4+16+18</f>
        <v>38</v>
      </c>
      <c r="Q54" s="60">
        <f t="shared" si="19"/>
        <v>-13</v>
      </c>
      <c r="R54" s="50">
        <f t="shared" si="20"/>
        <v>33996</v>
      </c>
      <c r="S54" s="50">
        <f t="shared" si="21"/>
        <v>445</v>
      </c>
      <c r="T54" s="50">
        <f t="shared" si="22"/>
        <v>602</v>
      </c>
      <c r="U54" s="50">
        <f>E20+I20+M20+Q20+U20+Y20+E54+I54+M54+Q54</f>
        <v>-157</v>
      </c>
      <c r="V54" s="61"/>
      <c r="W54" s="61"/>
      <c r="X54" s="61"/>
      <c r="Y54" s="61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</row>
    <row r="55" spans="1:46" ht="12.75">
      <c r="A55" s="53" t="s">
        <v>65</v>
      </c>
      <c r="B55" s="60">
        <v>4759</v>
      </c>
      <c r="C55" s="60">
        <v>77</v>
      </c>
      <c r="D55" s="60">
        <v>56</v>
      </c>
      <c r="E55" s="50">
        <f t="shared" si="16"/>
        <v>21</v>
      </c>
      <c r="F55" s="60">
        <v>972</v>
      </c>
      <c r="G55" s="60">
        <v>26</v>
      </c>
      <c r="H55" s="60">
        <v>29</v>
      </c>
      <c r="I55" s="50">
        <f t="shared" si="17"/>
        <v>-3</v>
      </c>
      <c r="J55" s="60">
        <f>211+29+3018</f>
        <v>3258</v>
      </c>
      <c r="K55" s="60">
        <f>12+76</f>
        <v>88</v>
      </c>
      <c r="L55" s="60">
        <f>4+1+88</f>
        <v>93</v>
      </c>
      <c r="M55" s="50">
        <f t="shared" si="18"/>
        <v>-5</v>
      </c>
      <c r="N55" s="60">
        <f>212+2739+165</f>
        <v>3116</v>
      </c>
      <c r="O55" s="60">
        <f>1+2+44</f>
        <v>47</v>
      </c>
      <c r="P55" s="60">
        <f>2+2+72</f>
        <v>76</v>
      </c>
      <c r="Q55" s="50">
        <f t="shared" si="19"/>
        <v>-29</v>
      </c>
      <c r="R55" s="50">
        <f t="shared" si="20"/>
        <v>34054</v>
      </c>
      <c r="S55" s="50">
        <f t="shared" si="21"/>
        <v>687</v>
      </c>
      <c r="T55" s="50">
        <f t="shared" si="22"/>
        <v>881</v>
      </c>
      <c r="U55" s="60">
        <f aca="true" t="shared" si="24" ref="U55:U63">S55-T55</f>
        <v>-194</v>
      </c>
      <c r="V55" s="60"/>
      <c r="W55" s="60"/>
      <c r="X55" s="60"/>
      <c r="Y55" s="5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</row>
    <row r="56" spans="1:25" ht="12.75">
      <c r="A56" s="53" t="s">
        <v>22</v>
      </c>
      <c r="B56" s="60">
        <v>4876</v>
      </c>
      <c r="C56" s="60">
        <v>42</v>
      </c>
      <c r="D56" s="60">
        <v>29</v>
      </c>
      <c r="E56" s="50">
        <f t="shared" si="16"/>
        <v>13</v>
      </c>
      <c r="F56" s="60">
        <v>974</v>
      </c>
      <c r="G56" s="60">
        <v>19</v>
      </c>
      <c r="H56" s="60">
        <v>16</v>
      </c>
      <c r="I56" s="50">
        <f t="shared" si="17"/>
        <v>3</v>
      </c>
      <c r="J56" s="60">
        <f>215+29+3067</f>
        <v>3311</v>
      </c>
      <c r="K56" s="60">
        <f>7+45</f>
        <v>52</v>
      </c>
      <c r="L56" s="60">
        <f>6+35</f>
        <v>41</v>
      </c>
      <c r="M56" s="50">
        <f t="shared" si="18"/>
        <v>11</v>
      </c>
      <c r="N56" s="60">
        <f>164+212+2740</f>
        <v>3116</v>
      </c>
      <c r="O56" s="60">
        <v>31</v>
      </c>
      <c r="P56" s="60">
        <f>2+48</f>
        <v>50</v>
      </c>
      <c r="Q56" s="50">
        <f t="shared" si="19"/>
        <v>-19</v>
      </c>
      <c r="R56" s="50">
        <f t="shared" si="20"/>
        <v>34338</v>
      </c>
      <c r="S56" s="50">
        <f t="shared" si="21"/>
        <v>496</v>
      </c>
      <c r="T56" s="50">
        <f t="shared" si="22"/>
        <v>501</v>
      </c>
      <c r="U56" s="60">
        <f t="shared" si="24"/>
        <v>-5</v>
      </c>
      <c r="V56" s="60"/>
      <c r="W56" s="60"/>
      <c r="X56" s="60"/>
      <c r="Y56" s="50"/>
    </row>
    <row r="57" spans="1:25" ht="12.75">
      <c r="A57" s="53" t="s">
        <v>23</v>
      </c>
      <c r="B57" s="60">
        <v>4912</v>
      </c>
      <c r="C57" s="60">
        <v>37</v>
      </c>
      <c r="D57" s="60">
        <v>26</v>
      </c>
      <c r="E57" s="60">
        <f t="shared" si="16"/>
        <v>11</v>
      </c>
      <c r="F57" s="60">
        <v>982</v>
      </c>
      <c r="G57" s="60">
        <v>11</v>
      </c>
      <c r="H57" s="60">
        <v>5</v>
      </c>
      <c r="I57" s="60">
        <f t="shared" si="17"/>
        <v>6</v>
      </c>
      <c r="J57" s="60">
        <f>216+30+3094</f>
        <v>3340</v>
      </c>
      <c r="K57" s="60">
        <f>4+1+41</f>
        <v>46</v>
      </c>
      <c r="L57" s="60">
        <f>6+0+30</f>
        <v>36</v>
      </c>
      <c r="M57" s="50">
        <f t="shared" si="18"/>
        <v>10</v>
      </c>
      <c r="N57" s="60">
        <f>164+211+2740</f>
        <v>3115</v>
      </c>
      <c r="O57" s="60">
        <f>1+0+22</f>
        <v>23</v>
      </c>
      <c r="P57" s="60">
        <f>1+0+28</f>
        <v>29</v>
      </c>
      <c r="Q57" s="50">
        <f t="shared" si="19"/>
        <v>-6</v>
      </c>
      <c r="R57" s="50">
        <f t="shared" si="20"/>
        <v>34510</v>
      </c>
      <c r="S57" s="50">
        <f t="shared" si="21"/>
        <v>396</v>
      </c>
      <c r="T57" s="50">
        <f t="shared" si="22"/>
        <v>376</v>
      </c>
      <c r="U57" s="60">
        <f t="shared" si="24"/>
        <v>20</v>
      </c>
      <c r="V57" s="61"/>
      <c r="W57" s="61"/>
      <c r="X57" s="61"/>
      <c r="Y57" s="61"/>
    </row>
    <row r="58" spans="1:25" ht="12.75">
      <c r="A58" s="53" t="s">
        <v>24</v>
      </c>
      <c r="B58" s="60">
        <v>4950</v>
      </c>
      <c r="C58" s="60">
        <v>46</v>
      </c>
      <c r="D58" s="60">
        <v>59</v>
      </c>
      <c r="E58" s="60">
        <f t="shared" si="16"/>
        <v>-13</v>
      </c>
      <c r="F58" s="60">
        <v>983</v>
      </c>
      <c r="G58" s="60">
        <v>20</v>
      </c>
      <c r="H58" s="60">
        <v>14</v>
      </c>
      <c r="I58" s="60">
        <f t="shared" si="17"/>
        <v>6</v>
      </c>
      <c r="J58" s="60">
        <f>215+31+3095</f>
        <v>3341</v>
      </c>
      <c r="K58" s="60">
        <f>4+1+44</f>
        <v>49</v>
      </c>
      <c r="L58" s="60">
        <f>4+0+59</f>
        <v>63</v>
      </c>
      <c r="M58" s="50">
        <f t="shared" si="18"/>
        <v>-14</v>
      </c>
      <c r="N58" s="60">
        <f>165+214+2743</f>
        <v>3122</v>
      </c>
      <c r="O58" s="60">
        <f>2+1+28</f>
        <v>31</v>
      </c>
      <c r="P58" s="60">
        <f>2+0+34</f>
        <v>36</v>
      </c>
      <c r="Q58" s="50">
        <f t="shared" si="19"/>
        <v>-5</v>
      </c>
      <c r="R58" s="50">
        <f t="shared" si="20"/>
        <v>34544</v>
      </c>
      <c r="S58" s="50">
        <f t="shared" si="21"/>
        <v>439</v>
      </c>
      <c r="T58" s="50">
        <f t="shared" si="22"/>
        <v>583</v>
      </c>
      <c r="U58" s="60">
        <f t="shared" si="24"/>
        <v>-144</v>
      </c>
      <c r="V58" s="61"/>
      <c r="W58" s="61"/>
      <c r="X58" s="61"/>
      <c r="Y58" s="61"/>
    </row>
    <row r="59" spans="1:25" ht="12.75">
      <c r="A59" s="53" t="s">
        <v>67</v>
      </c>
      <c r="B59" s="60">
        <v>4996</v>
      </c>
      <c r="C59" s="60">
        <v>58</v>
      </c>
      <c r="D59" s="60">
        <v>99</v>
      </c>
      <c r="E59" s="60">
        <f t="shared" si="16"/>
        <v>-41</v>
      </c>
      <c r="F59" s="60">
        <v>1005</v>
      </c>
      <c r="G59" s="60">
        <v>43</v>
      </c>
      <c r="H59" s="60">
        <v>36</v>
      </c>
      <c r="I59" s="60">
        <f t="shared" si="17"/>
        <v>7</v>
      </c>
      <c r="J59" s="60">
        <f>209+31+3134</f>
        <v>3374</v>
      </c>
      <c r="K59" s="60">
        <f>5+0+73</f>
        <v>78</v>
      </c>
      <c r="L59" s="60">
        <f>10+1+101</f>
        <v>112</v>
      </c>
      <c r="M59" s="50">
        <f t="shared" si="18"/>
        <v>-34</v>
      </c>
      <c r="N59" s="35">
        <f>167+211+2755</f>
        <v>3133</v>
      </c>
      <c r="O59" s="60">
        <f>5+1+46</f>
        <v>52</v>
      </c>
      <c r="P59" s="60">
        <f>6+6+60</f>
        <v>72</v>
      </c>
      <c r="Q59" s="50">
        <f t="shared" si="19"/>
        <v>-20</v>
      </c>
      <c r="R59" s="50">
        <f t="shared" si="20"/>
        <v>34509</v>
      </c>
      <c r="S59" s="50">
        <f t="shared" si="21"/>
        <v>699</v>
      </c>
      <c r="T59" s="50">
        <f t="shared" si="22"/>
        <v>1100</v>
      </c>
      <c r="U59" s="60">
        <f t="shared" si="24"/>
        <v>-401</v>
      </c>
      <c r="V59" s="61"/>
      <c r="W59" s="61"/>
      <c r="X59" s="61"/>
      <c r="Y59" s="61"/>
    </row>
    <row r="60" spans="1:25" ht="12.75">
      <c r="A60" s="53" t="s">
        <v>22</v>
      </c>
      <c r="B60" s="60">
        <v>5061</v>
      </c>
      <c r="C60" s="60">
        <v>46</v>
      </c>
      <c r="D60" s="60">
        <v>39</v>
      </c>
      <c r="E60" s="60">
        <f t="shared" si="16"/>
        <v>7</v>
      </c>
      <c r="F60" s="60">
        <v>1006</v>
      </c>
      <c r="G60" s="60">
        <v>17</v>
      </c>
      <c r="H60" s="60">
        <v>10</v>
      </c>
      <c r="I60" s="60">
        <f t="shared" si="17"/>
        <v>7</v>
      </c>
      <c r="J60" s="60">
        <f>214+34+3185</f>
        <v>3433</v>
      </c>
      <c r="K60" s="60">
        <f>2+0+58</f>
        <v>60</v>
      </c>
      <c r="L60" s="60">
        <f>3+1+42</f>
        <v>46</v>
      </c>
      <c r="M60" s="50">
        <f t="shared" si="18"/>
        <v>14</v>
      </c>
      <c r="N60" s="60">
        <f>169+210+2780</f>
        <v>3159</v>
      </c>
      <c r="O60" s="60">
        <f>2+0+41</f>
        <v>43</v>
      </c>
      <c r="P60" s="60">
        <f>1+1+36</f>
        <v>38</v>
      </c>
      <c r="Q60" s="50">
        <f t="shared" si="19"/>
        <v>5</v>
      </c>
      <c r="R60" s="50">
        <f t="shared" si="20"/>
        <v>34753</v>
      </c>
      <c r="S60" s="50">
        <f t="shared" si="21"/>
        <v>517</v>
      </c>
      <c r="T60" s="50">
        <f t="shared" si="22"/>
        <v>534</v>
      </c>
      <c r="U60" s="60">
        <f t="shared" si="24"/>
        <v>-17</v>
      </c>
      <c r="V60" s="61"/>
      <c r="W60" s="61"/>
      <c r="X60" s="61"/>
      <c r="Y60" s="61"/>
    </row>
    <row r="61" spans="1:25" ht="12.75">
      <c r="A61" s="53" t="s">
        <v>23</v>
      </c>
      <c r="B61" s="60">
        <v>5091</v>
      </c>
      <c r="C61" s="60">
        <v>39</v>
      </c>
      <c r="D61" s="60">
        <v>42</v>
      </c>
      <c r="E61" s="60">
        <f t="shared" si="16"/>
        <v>-3</v>
      </c>
      <c r="F61" s="60">
        <v>1009</v>
      </c>
      <c r="G61" s="60">
        <v>15</v>
      </c>
      <c r="H61" s="60">
        <v>15</v>
      </c>
      <c r="I61" s="60">
        <f t="shared" si="17"/>
        <v>0</v>
      </c>
      <c r="J61" s="60">
        <f>219+35+3206</f>
        <v>3460</v>
      </c>
      <c r="K61" s="60">
        <f>5+0+47</f>
        <v>52</v>
      </c>
      <c r="L61" s="60">
        <f>7+0+46</f>
        <v>53</v>
      </c>
      <c r="M61" s="50">
        <f t="shared" si="18"/>
        <v>-1</v>
      </c>
      <c r="N61" s="60">
        <f>173+215+2778</f>
        <v>3166</v>
      </c>
      <c r="O61" s="60">
        <f>1+0+20</f>
        <v>21</v>
      </c>
      <c r="P61" s="60">
        <f>2+0+26</f>
        <v>28</v>
      </c>
      <c r="Q61" s="50">
        <f t="shared" si="19"/>
        <v>-7</v>
      </c>
      <c r="R61" s="50">
        <f t="shared" si="20"/>
        <v>34905</v>
      </c>
      <c r="S61" s="50">
        <f t="shared" si="21"/>
        <v>415</v>
      </c>
      <c r="T61" s="50">
        <f t="shared" si="22"/>
        <v>467</v>
      </c>
      <c r="U61" s="60">
        <f t="shared" si="24"/>
        <v>-52</v>
      </c>
      <c r="V61" s="61"/>
      <c r="W61" s="61"/>
      <c r="X61" s="61"/>
      <c r="Y61" s="61"/>
    </row>
    <row r="62" spans="1:25" ht="12.75">
      <c r="A62" s="53" t="s">
        <v>24</v>
      </c>
      <c r="B62" s="60">
        <v>5092</v>
      </c>
      <c r="C62" s="60">
        <v>44</v>
      </c>
      <c r="D62" s="60">
        <v>88</v>
      </c>
      <c r="E62" s="60">
        <f t="shared" si="16"/>
        <v>-44</v>
      </c>
      <c r="F62" s="60">
        <v>983</v>
      </c>
      <c r="G62" s="60">
        <v>8</v>
      </c>
      <c r="H62" s="60">
        <v>34</v>
      </c>
      <c r="I62" s="60">
        <f t="shared" si="17"/>
        <v>-26</v>
      </c>
      <c r="J62" s="60">
        <f>214+39+3188</f>
        <v>3441</v>
      </c>
      <c r="K62" s="60">
        <f>6+2+45</f>
        <v>53</v>
      </c>
      <c r="L62" s="60">
        <f>9+0+82</f>
        <v>91</v>
      </c>
      <c r="M62" s="50">
        <f t="shared" si="18"/>
        <v>-38</v>
      </c>
      <c r="N62" s="60">
        <f>175+212+2754</f>
        <v>3141</v>
      </c>
      <c r="O62" s="60">
        <f>2+0+24</f>
        <v>26</v>
      </c>
      <c r="P62" s="60">
        <f>2+4+75</f>
        <v>81</v>
      </c>
      <c r="Q62" s="50">
        <f t="shared" si="19"/>
        <v>-55</v>
      </c>
      <c r="R62" s="50">
        <f t="shared" si="20"/>
        <v>34696</v>
      </c>
      <c r="S62" s="50">
        <f t="shared" si="21"/>
        <v>415</v>
      </c>
      <c r="T62" s="50">
        <f t="shared" si="22"/>
        <v>841</v>
      </c>
      <c r="U62" s="60">
        <f t="shared" si="24"/>
        <v>-426</v>
      </c>
      <c r="V62" s="61"/>
      <c r="W62" s="61"/>
      <c r="X62" s="61"/>
      <c r="Y62" s="61"/>
    </row>
    <row r="63" spans="1:25" ht="12.75">
      <c r="A63" s="53" t="s">
        <v>69</v>
      </c>
      <c r="B63" s="60">
        <v>5204</v>
      </c>
      <c r="C63" s="60">
        <v>55</v>
      </c>
      <c r="D63" s="60">
        <v>96</v>
      </c>
      <c r="E63" s="60">
        <f t="shared" si="16"/>
        <v>-41</v>
      </c>
      <c r="F63" s="60">
        <v>1010</v>
      </c>
      <c r="G63" s="60">
        <v>44</v>
      </c>
      <c r="H63" s="60">
        <v>36</v>
      </c>
      <c r="I63" s="60">
        <f t="shared" si="17"/>
        <v>8</v>
      </c>
      <c r="J63" s="60">
        <f>215+41+3258</f>
        <v>3514</v>
      </c>
      <c r="K63" s="60">
        <f>3+0+89</f>
        <v>92</v>
      </c>
      <c r="L63" s="60">
        <f>11+2+113</f>
        <v>126</v>
      </c>
      <c r="M63" s="50">
        <f t="shared" si="18"/>
        <v>-34</v>
      </c>
      <c r="N63" s="60">
        <f>182+210+2750</f>
        <v>3142</v>
      </c>
      <c r="O63" s="60">
        <f>7+0+47</f>
        <v>54</v>
      </c>
      <c r="P63" s="60">
        <f>1+4+82</f>
        <v>87</v>
      </c>
      <c r="Q63" s="50">
        <f t="shared" si="19"/>
        <v>-33</v>
      </c>
      <c r="R63" s="50">
        <f t="shared" si="20"/>
        <v>35088</v>
      </c>
      <c r="S63" s="50">
        <f t="shared" si="21"/>
        <v>671</v>
      </c>
      <c r="T63" s="50">
        <f t="shared" si="22"/>
        <v>1130</v>
      </c>
      <c r="U63" s="60">
        <f t="shared" si="24"/>
        <v>-459</v>
      </c>
      <c r="V63" s="61"/>
      <c r="W63" s="61"/>
      <c r="X63" s="61"/>
      <c r="Y63" s="61"/>
    </row>
    <row r="64" spans="1:25" ht="12.75">
      <c r="A64" s="53" t="s">
        <v>22</v>
      </c>
      <c r="B64" s="60">
        <v>5199</v>
      </c>
      <c r="C64" s="60">
        <v>33</v>
      </c>
      <c r="D64" s="60">
        <v>91</v>
      </c>
      <c r="E64" s="60">
        <f t="shared" si="16"/>
        <v>-58</v>
      </c>
      <c r="F64" s="60">
        <v>1014</v>
      </c>
      <c r="G64" s="60">
        <v>20</v>
      </c>
      <c r="H64" s="60">
        <v>21</v>
      </c>
      <c r="I64" s="60">
        <f t="shared" si="17"/>
        <v>-1</v>
      </c>
      <c r="J64" s="60">
        <f>214+45+3295</f>
        <v>3554</v>
      </c>
      <c r="K64" s="60">
        <f>4+3+67</f>
        <v>74</v>
      </c>
      <c r="L64" s="60">
        <f>7+1+63</f>
        <v>71</v>
      </c>
      <c r="M64" s="50">
        <f t="shared" si="18"/>
        <v>3</v>
      </c>
      <c r="N64" s="60">
        <f>186+214+2760</f>
        <v>3160</v>
      </c>
      <c r="O64" s="60">
        <f>1+0+41</f>
        <v>42</v>
      </c>
      <c r="P64" s="60">
        <f>2+4+52</f>
        <v>58</v>
      </c>
      <c r="Q64" s="50">
        <f t="shared" si="19"/>
        <v>-16</v>
      </c>
      <c r="R64" s="50">
        <f t="shared" si="20"/>
        <v>35177</v>
      </c>
      <c r="S64" s="50">
        <f t="shared" si="21"/>
        <v>504</v>
      </c>
      <c r="T64" s="50">
        <f t="shared" si="22"/>
        <v>810</v>
      </c>
      <c r="U64" s="60">
        <f aca="true" t="shared" si="25" ref="U64:U70">S64-T64</f>
        <v>-306</v>
      </c>
      <c r="V64" s="61"/>
      <c r="W64" s="61"/>
      <c r="X64" s="61"/>
      <c r="Y64" s="61"/>
    </row>
    <row r="65" spans="1:25" ht="12.75">
      <c r="A65" s="53" t="s">
        <v>23</v>
      </c>
      <c r="B65" s="60">
        <v>5226</v>
      </c>
      <c r="C65" s="60">
        <v>24</v>
      </c>
      <c r="D65" s="60">
        <v>34</v>
      </c>
      <c r="E65" s="60">
        <f t="shared" si="16"/>
        <v>-10</v>
      </c>
      <c r="F65" s="60">
        <v>1016</v>
      </c>
      <c r="G65" s="60">
        <v>21</v>
      </c>
      <c r="H65" s="60">
        <v>16</v>
      </c>
      <c r="I65" s="60">
        <f t="shared" si="17"/>
        <v>5</v>
      </c>
      <c r="J65" s="60">
        <f>219+45+3315</f>
        <v>3579</v>
      </c>
      <c r="K65" s="60">
        <f>2+1+56</f>
        <v>59</v>
      </c>
      <c r="L65" s="60">
        <f>4+1+81</f>
        <v>86</v>
      </c>
      <c r="M65" s="50">
        <f t="shared" si="18"/>
        <v>-27</v>
      </c>
      <c r="N65" s="60">
        <f>187+210+2758</f>
        <v>3155</v>
      </c>
      <c r="O65" s="60">
        <f>3+0+25</f>
        <v>28</v>
      </c>
      <c r="P65" s="60">
        <f>3+3+43</f>
        <v>49</v>
      </c>
      <c r="Q65" s="50">
        <f t="shared" si="19"/>
        <v>-21</v>
      </c>
      <c r="R65" s="50">
        <f t="shared" si="20"/>
        <v>35229</v>
      </c>
      <c r="S65" s="50">
        <f t="shared" si="21"/>
        <v>449</v>
      </c>
      <c r="T65" s="50">
        <f t="shared" si="22"/>
        <v>666</v>
      </c>
      <c r="U65" s="60">
        <f t="shared" si="25"/>
        <v>-217</v>
      </c>
      <c r="V65" s="61"/>
      <c r="W65" s="61"/>
      <c r="X65" s="61"/>
      <c r="Y65" s="61"/>
    </row>
    <row r="66" spans="1:25" ht="12.75">
      <c r="A66" s="53" t="s">
        <v>24</v>
      </c>
      <c r="B66" s="60">
        <v>5205</v>
      </c>
      <c r="C66" s="60">
        <v>33</v>
      </c>
      <c r="D66" s="60">
        <v>69</v>
      </c>
      <c r="E66" s="60">
        <f t="shared" si="16"/>
        <v>-36</v>
      </c>
      <c r="F66" s="60">
        <v>1014</v>
      </c>
      <c r="G66" s="60">
        <v>20</v>
      </c>
      <c r="H66" s="60">
        <v>26</v>
      </c>
      <c r="I66" s="60">
        <f t="shared" si="17"/>
        <v>-6</v>
      </c>
      <c r="J66" s="60">
        <f>214+45+3337</f>
        <v>3596</v>
      </c>
      <c r="K66" s="60">
        <f>3+1+49</f>
        <v>53</v>
      </c>
      <c r="L66" s="60">
        <f>8+1+73</f>
        <v>82</v>
      </c>
      <c r="M66" s="50">
        <f t="shared" si="18"/>
        <v>-29</v>
      </c>
      <c r="N66" s="60">
        <f>186+214+2750</f>
        <v>3150</v>
      </c>
      <c r="O66" s="60">
        <f>2+1+32</f>
        <v>35</v>
      </c>
      <c r="P66" s="60">
        <f>5+3+51</f>
        <v>59</v>
      </c>
      <c r="Q66" s="50">
        <f t="shared" si="19"/>
        <v>-24</v>
      </c>
      <c r="R66" s="50">
        <f t="shared" si="20"/>
        <v>35091</v>
      </c>
      <c r="S66" s="50">
        <f t="shared" si="21"/>
        <v>414</v>
      </c>
      <c r="T66" s="50">
        <f t="shared" si="22"/>
        <v>754</v>
      </c>
      <c r="U66" s="60">
        <f t="shared" si="25"/>
        <v>-340</v>
      </c>
      <c r="V66" s="61"/>
      <c r="W66" s="61"/>
      <c r="X66" s="61"/>
      <c r="Y66" s="61"/>
    </row>
    <row r="67" spans="1:25" ht="12.75">
      <c r="A67" s="53" t="s">
        <v>72</v>
      </c>
      <c r="B67" s="60">
        <v>5224</v>
      </c>
      <c r="C67" s="60">
        <v>45</v>
      </c>
      <c r="D67" s="60">
        <v>126</v>
      </c>
      <c r="E67" s="60">
        <f t="shared" si="16"/>
        <v>-81</v>
      </c>
      <c r="F67" s="60">
        <v>1027</v>
      </c>
      <c r="G67" s="60">
        <v>42</v>
      </c>
      <c r="H67" s="60">
        <v>26</v>
      </c>
      <c r="I67" s="60">
        <f t="shared" si="17"/>
        <v>16</v>
      </c>
      <c r="J67" s="60">
        <f>215+45+3361</f>
        <v>3621</v>
      </c>
      <c r="K67" s="60">
        <f>7+105</f>
        <v>112</v>
      </c>
      <c r="L67" s="60">
        <f>14+116</f>
        <v>130</v>
      </c>
      <c r="M67" s="50">
        <f t="shared" si="18"/>
        <v>-18</v>
      </c>
      <c r="N67" s="60">
        <f>183+221+2753</f>
        <v>3157</v>
      </c>
      <c r="O67" s="60">
        <f>3+4+56</f>
        <v>63</v>
      </c>
      <c r="P67" s="60">
        <f>8+3+67</f>
        <v>78</v>
      </c>
      <c r="Q67" s="50">
        <f t="shared" si="19"/>
        <v>-15</v>
      </c>
      <c r="R67" s="50">
        <f t="shared" si="20"/>
        <v>35004</v>
      </c>
      <c r="S67" s="50">
        <f t="shared" si="21"/>
        <v>671</v>
      </c>
      <c r="T67" s="50">
        <f t="shared" si="22"/>
        <v>1044</v>
      </c>
      <c r="U67" s="60">
        <f t="shared" si="25"/>
        <v>-373</v>
      </c>
      <c r="V67" s="61"/>
      <c r="W67" s="61"/>
      <c r="X67" s="61"/>
      <c r="Y67" s="61"/>
    </row>
    <row r="68" spans="1:25" ht="12.75">
      <c r="A68" s="53" t="s">
        <v>22</v>
      </c>
      <c r="B68" s="60">
        <v>5243</v>
      </c>
      <c r="C68" s="60">
        <v>19</v>
      </c>
      <c r="D68" s="60">
        <v>34</v>
      </c>
      <c r="E68" s="60">
        <f t="shared" si="16"/>
        <v>-15</v>
      </c>
      <c r="F68" s="60">
        <v>1045</v>
      </c>
      <c r="G68" s="60">
        <v>21</v>
      </c>
      <c r="H68" s="60">
        <v>13</v>
      </c>
      <c r="I68" s="60">
        <f t="shared" si="17"/>
        <v>8</v>
      </c>
      <c r="J68" s="60">
        <f>211+46+3399</f>
        <v>3656</v>
      </c>
      <c r="K68" s="60">
        <f>3+61</f>
        <v>64</v>
      </c>
      <c r="L68" s="60">
        <f>6+53</f>
        <v>59</v>
      </c>
      <c r="M68" s="50">
        <f t="shared" si="18"/>
        <v>5</v>
      </c>
      <c r="N68" s="60">
        <f>187+224+2780</f>
        <v>3191</v>
      </c>
      <c r="O68" s="60">
        <v>51</v>
      </c>
      <c r="P68" s="60">
        <v>31</v>
      </c>
      <c r="Q68" s="50">
        <f t="shared" si="19"/>
        <v>20</v>
      </c>
      <c r="R68" s="50">
        <f t="shared" si="20"/>
        <v>35228</v>
      </c>
      <c r="S68" s="50">
        <f t="shared" si="21"/>
        <v>474</v>
      </c>
      <c r="T68" s="50">
        <f t="shared" si="22"/>
        <v>419</v>
      </c>
      <c r="U68" s="60">
        <f t="shared" si="25"/>
        <v>55</v>
      </c>
      <c r="V68" s="61"/>
      <c r="W68" s="61"/>
      <c r="X68" s="61"/>
      <c r="Y68" s="61"/>
    </row>
    <row r="69" spans="1:25" ht="12.75">
      <c r="A69" s="53" t="s">
        <v>23</v>
      </c>
      <c r="B69" s="60">
        <v>5249</v>
      </c>
      <c r="C69" s="60">
        <v>19</v>
      </c>
      <c r="D69" s="60">
        <v>30</v>
      </c>
      <c r="E69" s="60">
        <f t="shared" si="16"/>
        <v>-11</v>
      </c>
      <c r="F69" s="60">
        <v>1058</v>
      </c>
      <c r="G69" s="60">
        <v>19</v>
      </c>
      <c r="H69" s="60">
        <v>4</v>
      </c>
      <c r="I69" s="60">
        <f t="shared" si="17"/>
        <v>15</v>
      </c>
      <c r="J69" s="60">
        <v>3680</v>
      </c>
      <c r="K69" s="60">
        <v>54</v>
      </c>
      <c r="L69" s="60">
        <v>56</v>
      </c>
      <c r="M69" s="50">
        <f t="shared" si="18"/>
        <v>-2</v>
      </c>
      <c r="N69" s="60">
        <v>3191</v>
      </c>
      <c r="O69" s="60">
        <v>32</v>
      </c>
      <c r="P69" s="60">
        <v>38</v>
      </c>
      <c r="Q69" s="50">
        <f t="shared" si="19"/>
        <v>-6</v>
      </c>
      <c r="R69" s="50">
        <f t="shared" si="20"/>
        <v>35296</v>
      </c>
      <c r="S69" s="50">
        <f t="shared" si="21"/>
        <v>397</v>
      </c>
      <c r="T69" s="50">
        <f t="shared" si="22"/>
        <v>455</v>
      </c>
      <c r="U69" s="60">
        <f t="shared" si="25"/>
        <v>-58</v>
      </c>
      <c r="V69" s="61"/>
      <c r="W69" s="61"/>
      <c r="X69" s="61"/>
      <c r="Y69" s="61"/>
    </row>
    <row r="70" spans="1:25" ht="12.75">
      <c r="A70" s="53" t="s">
        <v>24</v>
      </c>
      <c r="B70" s="60">
        <v>5208</v>
      </c>
      <c r="C70" s="60">
        <v>16</v>
      </c>
      <c r="D70" s="60">
        <v>81</v>
      </c>
      <c r="E70" s="60">
        <f t="shared" si="16"/>
        <v>-65</v>
      </c>
      <c r="F70" s="60">
        <v>1057</v>
      </c>
      <c r="G70" s="60">
        <v>19</v>
      </c>
      <c r="H70" s="60">
        <v>26</v>
      </c>
      <c r="I70" s="60">
        <f t="shared" si="17"/>
        <v>-7</v>
      </c>
      <c r="J70" s="60">
        <v>3662</v>
      </c>
      <c r="K70" s="60">
        <v>56</v>
      </c>
      <c r="L70" s="60">
        <v>85</v>
      </c>
      <c r="M70" s="50">
        <f t="shared" si="18"/>
        <v>-29</v>
      </c>
      <c r="N70" s="60">
        <v>3172</v>
      </c>
      <c r="O70" s="60">
        <v>37</v>
      </c>
      <c r="P70" s="60">
        <v>77</v>
      </c>
      <c r="Q70" s="50">
        <f t="shared" si="19"/>
        <v>-40</v>
      </c>
      <c r="R70" s="50">
        <f t="shared" si="20"/>
        <v>35154</v>
      </c>
      <c r="S70" s="50">
        <f t="shared" si="21"/>
        <v>432</v>
      </c>
      <c r="T70" s="50">
        <f t="shared" si="22"/>
        <v>784</v>
      </c>
      <c r="U70" s="60">
        <f t="shared" si="25"/>
        <v>-352</v>
      </c>
      <c r="V70" s="61"/>
      <c r="W70" s="61"/>
      <c r="X70" s="61"/>
      <c r="Y70" s="61"/>
    </row>
    <row r="71" spans="1:25" ht="12.75">
      <c r="A71" s="53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1"/>
      <c r="W71" s="61"/>
      <c r="X71" s="61"/>
      <c r="Y71" s="61"/>
    </row>
    <row r="72" spans="1:25" ht="12.75">
      <c r="A72" s="35" t="s">
        <v>38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:25" ht="12.75">
      <c r="A73" s="35" t="s">
        <v>39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</row>
    <row r="74" spans="2:25" ht="12.7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2:25" ht="12.7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2:25" ht="12.7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2:25" ht="12.7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2:25" ht="12.7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2:25" ht="12.7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2:25" ht="12.7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2:25" ht="12.7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2:25" ht="12.7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</sheetData>
  <sheetProtection/>
  <mergeCells count="5">
    <mergeCell ref="R38:U38"/>
    <mergeCell ref="B38:E38"/>
    <mergeCell ref="F38:I38"/>
    <mergeCell ref="J38:M38"/>
    <mergeCell ref="N38:Q38"/>
  </mergeCells>
  <printOptions/>
  <pageMargins left="0.21" right="0.27" top="0.5905511811023623" bottom="0.1968503937007874" header="0.11811023622047245" footer="0.11811023622047245"/>
  <pageSetup fitToHeight="1" fitToWidth="1" horizontalDpi="300" verticalDpi="300" orientation="landscape" paperSize="9" scale="58" r:id="rId1"/>
  <headerFooter alignWithMargins="0">
    <oddFooter>&amp;C&amp;F&amp;RPagina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2"/>
  <sheetViews>
    <sheetView showGridLines="0" zoomScalePageLayoutView="0" workbookViewId="0" topLeftCell="A1">
      <pane ySplit="5" topLeftCell="A96" activePane="bottomLeft" state="frozen"/>
      <selection pane="topLeft" activeCell="B1" sqref="B1"/>
      <selection pane="bottomLeft" activeCell="D116" sqref="D116"/>
    </sheetView>
  </sheetViews>
  <sheetFormatPr defaultColWidth="9.140625" defaultRowHeight="12.75"/>
  <cols>
    <col min="1" max="1" width="14.28125" style="0" customWidth="1"/>
    <col min="2" max="2" width="5.421875" style="0" customWidth="1"/>
    <col min="3" max="3" width="6.00390625" style="0" customWidth="1"/>
    <col min="4" max="4" width="6.57421875" style="0" customWidth="1"/>
    <col min="5" max="5" width="5.140625" style="0" customWidth="1"/>
    <col min="6" max="6" width="5.421875" style="0" customWidth="1"/>
    <col min="7" max="7" width="6.00390625" style="0" customWidth="1"/>
    <col min="8" max="8" width="6.57421875" style="0" customWidth="1"/>
    <col min="9" max="9" width="5.140625" style="0" customWidth="1"/>
    <col min="10" max="10" width="6.421875" style="0" customWidth="1"/>
    <col min="11" max="11" width="6.00390625" style="0" customWidth="1"/>
    <col min="12" max="12" width="6.57421875" style="0" customWidth="1"/>
    <col min="13" max="13" width="5.140625" style="0" customWidth="1"/>
    <col min="14" max="14" width="5.421875" style="0" customWidth="1"/>
    <col min="15" max="15" width="6.00390625" style="0" customWidth="1"/>
    <col min="16" max="16" width="6.57421875" style="0" customWidth="1"/>
    <col min="17" max="17" width="5.140625" style="0" customWidth="1"/>
    <col min="18" max="18" width="6.421875" style="0" customWidth="1"/>
    <col min="19" max="19" width="6.00390625" style="0" customWidth="1"/>
    <col min="20" max="20" width="6.57421875" style="0" customWidth="1"/>
    <col min="21" max="21" width="5.140625" style="0" customWidth="1"/>
    <col min="22" max="22" width="5.421875" style="0" customWidth="1"/>
    <col min="23" max="23" width="6.00390625" style="0" customWidth="1"/>
    <col min="24" max="24" width="6.57421875" style="0" customWidth="1"/>
    <col min="25" max="25" width="5.140625" style="0" customWidth="1"/>
    <col min="42" max="42" width="10.140625" style="0" customWidth="1"/>
  </cols>
  <sheetData>
    <row r="1" spans="1:25" s="34" customFormat="1" ht="27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17" ht="12.75">
      <c r="A2" s="6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46" ht="12.75">
      <c r="A3" s="35"/>
      <c r="B3" s="6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6" s="43" customFormat="1" ht="22.5">
      <c r="A4" s="36" t="s">
        <v>1</v>
      </c>
      <c r="B4" s="37" t="s">
        <v>2</v>
      </c>
      <c r="C4" s="38"/>
      <c r="D4" s="39"/>
      <c r="E4" s="40"/>
      <c r="F4" s="37" t="s">
        <v>3</v>
      </c>
      <c r="G4" s="38"/>
      <c r="H4" s="39"/>
      <c r="I4" s="38"/>
      <c r="J4" s="37" t="s">
        <v>4</v>
      </c>
      <c r="K4" s="38"/>
      <c r="L4" s="39"/>
      <c r="M4" s="38"/>
      <c r="N4" s="37" t="s">
        <v>5</v>
      </c>
      <c r="O4" s="38"/>
      <c r="P4" s="39"/>
      <c r="Q4" s="40"/>
      <c r="R4" s="37" t="s">
        <v>6</v>
      </c>
      <c r="S4" s="38"/>
      <c r="T4" s="39"/>
      <c r="U4" s="38"/>
      <c r="V4" s="37" t="s">
        <v>7</v>
      </c>
      <c r="W4" s="38"/>
      <c r="X4" s="39"/>
      <c r="Y4" s="41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42"/>
    </row>
    <row r="5" spans="1:46" s="4" customFormat="1" ht="25.5" customHeight="1">
      <c r="A5" s="44"/>
      <c r="B5" s="45" t="s">
        <v>8</v>
      </c>
      <c r="C5" s="45" t="s">
        <v>9</v>
      </c>
      <c r="D5" s="45" t="s">
        <v>10</v>
      </c>
      <c r="E5" s="45" t="s">
        <v>11</v>
      </c>
      <c r="F5" s="46" t="s">
        <v>8</v>
      </c>
      <c r="G5" s="45" t="s">
        <v>9</v>
      </c>
      <c r="H5" s="45" t="s">
        <v>10</v>
      </c>
      <c r="I5" s="45" t="s">
        <v>11</v>
      </c>
      <c r="J5" s="46" t="s">
        <v>8</v>
      </c>
      <c r="K5" s="45" t="s">
        <v>9</v>
      </c>
      <c r="L5" s="45" t="s">
        <v>10</v>
      </c>
      <c r="M5" s="45" t="s">
        <v>11</v>
      </c>
      <c r="N5" s="46" t="s">
        <v>8</v>
      </c>
      <c r="O5" s="45" t="s">
        <v>9</v>
      </c>
      <c r="P5" s="45" t="s">
        <v>10</v>
      </c>
      <c r="Q5" s="47" t="s">
        <v>11</v>
      </c>
      <c r="R5" s="46" t="s">
        <v>8</v>
      </c>
      <c r="S5" s="45" t="s">
        <v>9</v>
      </c>
      <c r="T5" s="45" t="s">
        <v>10</v>
      </c>
      <c r="U5" s="45" t="s">
        <v>11</v>
      </c>
      <c r="V5" s="46" t="s">
        <v>8</v>
      </c>
      <c r="W5" s="45" t="s">
        <v>9</v>
      </c>
      <c r="X5" s="45" t="s">
        <v>10</v>
      </c>
      <c r="Y5" s="47" t="s">
        <v>11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 s="48"/>
    </row>
    <row r="6" spans="1:46" s="5" customFormat="1" ht="12.75">
      <c r="A6" s="49" t="s">
        <v>12</v>
      </c>
      <c r="B6" s="50">
        <v>2029</v>
      </c>
      <c r="C6" s="50">
        <v>95</v>
      </c>
      <c r="D6" s="50">
        <v>120</v>
      </c>
      <c r="E6" s="50">
        <f aca="true" t="shared" si="0" ref="E6:E15">C6-D6</f>
        <v>-25</v>
      </c>
      <c r="F6" s="50">
        <v>5438</v>
      </c>
      <c r="G6" s="50">
        <v>566</v>
      </c>
      <c r="H6" s="50">
        <v>438</v>
      </c>
      <c r="I6" s="50">
        <f aca="true" t="shared" si="1" ref="I6:I15">G6-H6</f>
        <v>128</v>
      </c>
      <c r="J6" s="50">
        <v>7460</v>
      </c>
      <c r="K6" s="50">
        <v>453</v>
      </c>
      <c r="L6" s="50">
        <v>517</v>
      </c>
      <c r="M6" s="50">
        <f aca="true" t="shared" si="2" ref="M6:M15">K6-L6</f>
        <v>-64</v>
      </c>
      <c r="N6" s="50">
        <v>2194</v>
      </c>
      <c r="O6" s="50">
        <v>305</v>
      </c>
      <c r="P6" s="50">
        <v>222</v>
      </c>
      <c r="Q6" s="50">
        <f aca="true" t="shared" si="3" ref="Q6:Q15">O6-P6</f>
        <v>83</v>
      </c>
      <c r="R6" s="50">
        <v>2831</v>
      </c>
      <c r="S6" s="50">
        <v>240</v>
      </c>
      <c r="T6" s="50">
        <v>244</v>
      </c>
      <c r="U6" s="50">
        <f aca="true" t="shared" si="4" ref="U6:U15">S6-T6</f>
        <v>-4</v>
      </c>
      <c r="V6" s="50">
        <v>1093</v>
      </c>
      <c r="W6" s="50">
        <v>145</v>
      </c>
      <c r="X6" s="50">
        <v>136</v>
      </c>
      <c r="Y6" s="50">
        <f aca="true" t="shared" si="5" ref="Y6:Y15">W6-X6</f>
        <v>9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 s="48"/>
    </row>
    <row r="7" spans="1:46" s="5" customFormat="1" ht="12.75">
      <c r="A7" s="49" t="s">
        <v>13</v>
      </c>
      <c r="B7" s="50">
        <v>1980</v>
      </c>
      <c r="C7" s="50">
        <v>71</v>
      </c>
      <c r="D7" s="50">
        <v>112</v>
      </c>
      <c r="E7" s="50">
        <f t="shared" si="0"/>
        <v>-41</v>
      </c>
      <c r="F7" s="50">
        <v>5407</v>
      </c>
      <c r="G7" s="50">
        <v>415</v>
      </c>
      <c r="H7" s="50">
        <v>472</v>
      </c>
      <c r="I7" s="50">
        <f t="shared" si="1"/>
        <v>-57</v>
      </c>
      <c r="J7" s="50">
        <v>7334</v>
      </c>
      <c r="K7" s="50">
        <v>340</v>
      </c>
      <c r="L7" s="50">
        <v>559</v>
      </c>
      <c r="M7" s="50">
        <f t="shared" si="2"/>
        <v>-219</v>
      </c>
      <c r="N7" s="50">
        <v>2199</v>
      </c>
      <c r="O7" s="50">
        <v>155</v>
      </c>
      <c r="P7" s="50">
        <v>211</v>
      </c>
      <c r="Q7" s="50">
        <f t="shared" si="3"/>
        <v>-56</v>
      </c>
      <c r="R7" s="50">
        <v>2849</v>
      </c>
      <c r="S7" s="50">
        <v>220</v>
      </c>
      <c r="T7" s="50">
        <v>231</v>
      </c>
      <c r="U7" s="50">
        <f t="shared" si="4"/>
        <v>-11</v>
      </c>
      <c r="V7" s="50">
        <v>1091</v>
      </c>
      <c r="W7" s="50">
        <v>100</v>
      </c>
      <c r="X7" s="50">
        <v>119</v>
      </c>
      <c r="Y7" s="50">
        <f t="shared" si="5"/>
        <v>-19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 s="48"/>
    </row>
    <row r="8" spans="1:46" s="5" customFormat="1" ht="12.75">
      <c r="A8" s="49" t="s">
        <v>14</v>
      </c>
      <c r="B8" s="50">
        <v>1977</v>
      </c>
      <c r="C8" s="50">
        <v>62</v>
      </c>
      <c r="D8" s="50">
        <v>95</v>
      </c>
      <c r="E8" s="50">
        <f t="shared" si="0"/>
        <v>-33</v>
      </c>
      <c r="F8" s="50">
        <v>5522</v>
      </c>
      <c r="G8" s="50">
        <v>398</v>
      </c>
      <c r="H8" s="50">
        <v>430</v>
      </c>
      <c r="I8" s="50">
        <f t="shared" si="1"/>
        <v>-32</v>
      </c>
      <c r="J8" s="50">
        <v>7169</v>
      </c>
      <c r="K8" s="50">
        <v>266</v>
      </c>
      <c r="L8" s="50">
        <v>491</v>
      </c>
      <c r="M8" s="50">
        <f t="shared" si="2"/>
        <v>-225</v>
      </c>
      <c r="N8" s="50">
        <v>2212</v>
      </c>
      <c r="O8" s="50">
        <v>115</v>
      </c>
      <c r="P8" s="50">
        <v>185</v>
      </c>
      <c r="Q8" s="50">
        <f t="shared" si="3"/>
        <v>-70</v>
      </c>
      <c r="R8" s="50">
        <v>2882</v>
      </c>
      <c r="S8" s="50">
        <v>213</v>
      </c>
      <c r="T8" s="50">
        <v>198</v>
      </c>
      <c r="U8" s="50">
        <f t="shared" si="4"/>
        <v>15</v>
      </c>
      <c r="V8" s="50">
        <v>1126</v>
      </c>
      <c r="W8" s="50">
        <v>122</v>
      </c>
      <c r="X8" s="50">
        <v>109</v>
      </c>
      <c r="Y8" s="50">
        <f t="shared" si="5"/>
        <v>13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 s="48"/>
    </row>
    <row r="9" spans="1:46" s="5" customFormat="1" ht="12.75">
      <c r="A9" s="49" t="s">
        <v>15</v>
      </c>
      <c r="B9" s="50">
        <v>1946</v>
      </c>
      <c r="C9" s="50">
        <v>52</v>
      </c>
      <c r="D9" s="50">
        <v>89</v>
      </c>
      <c r="E9" s="50">
        <f t="shared" si="0"/>
        <v>-37</v>
      </c>
      <c r="F9" s="50">
        <v>5576</v>
      </c>
      <c r="G9" s="50">
        <v>346</v>
      </c>
      <c r="H9" s="50">
        <v>384</v>
      </c>
      <c r="I9" s="50">
        <f t="shared" si="1"/>
        <v>-38</v>
      </c>
      <c r="J9" s="50">
        <v>7055</v>
      </c>
      <c r="K9" s="50">
        <v>298</v>
      </c>
      <c r="L9" s="50">
        <v>483</v>
      </c>
      <c r="M9" s="50">
        <f t="shared" si="2"/>
        <v>-185</v>
      </c>
      <c r="N9" s="50">
        <v>2237</v>
      </c>
      <c r="O9" s="50">
        <v>130</v>
      </c>
      <c r="P9" s="50">
        <v>170</v>
      </c>
      <c r="Q9" s="50">
        <f t="shared" si="3"/>
        <v>-40</v>
      </c>
      <c r="R9" s="50">
        <v>2892</v>
      </c>
      <c r="S9" s="50">
        <v>155</v>
      </c>
      <c r="T9" s="50">
        <v>181</v>
      </c>
      <c r="U9" s="50">
        <f t="shared" si="4"/>
        <v>-26</v>
      </c>
      <c r="V9" s="50">
        <v>1173</v>
      </c>
      <c r="W9" s="50">
        <v>143</v>
      </c>
      <c r="X9" s="50">
        <v>97</v>
      </c>
      <c r="Y9" s="50">
        <f t="shared" si="5"/>
        <v>46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 s="48"/>
    </row>
    <row r="10" spans="1:46" s="5" customFormat="1" ht="12.75">
      <c r="A10" s="49" t="s">
        <v>16</v>
      </c>
      <c r="B10" s="50">
        <f>B36</f>
        <v>1915</v>
      </c>
      <c r="C10" s="50">
        <f>SUM(C33:C36)</f>
        <v>57</v>
      </c>
      <c r="D10" s="50">
        <f>SUM(D33:D36)</f>
        <v>94</v>
      </c>
      <c r="E10" s="50">
        <f t="shared" si="0"/>
        <v>-37</v>
      </c>
      <c r="F10" s="50">
        <f>F36</f>
        <v>5717</v>
      </c>
      <c r="G10" s="50">
        <f>SUM(G33:G36)</f>
        <v>403</v>
      </c>
      <c r="H10" s="50">
        <f>SUM(H33:H36)</f>
        <v>420</v>
      </c>
      <c r="I10" s="50">
        <f t="shared" si="1"/>
        <v>-17</v>
      </c>
      <c r="J10" s="50">
        <f>J36</f>
        <v>6982</v>
      </c>
      <c r="K10" s="50">
        <f>SUM(K33:K36)</f>
        <v>313</v>
      </c>
      <c r="L10" s="50">
        <f>SUM(L33:L36)</f>
        <v>459</v>
      </c>
      <c r="M10" s="50">
        <f t="shared" si="2"/>
        <v>-146</v>
      </c>
      <c r="N10" s="50">
        <f>N36</f>
        <v>2255</v>
      </c>
      <c r="O10" s="50">
        <f>SUM(O33:O36)</f>
        <v>113</v>
      </c>
      <c r="P10" s="50">
        <f>SUM(P33:P36)</f>
        <v>182</v>
      </c>
      <c r="Q10" s="50">
        <f t="shared" si="3"/>
        <v>-69</v>
      </c>
      <c r="R10" s="50">
        <f>R36</f>
        <v>2919</v>
      </c>
      <c r="S10" s="50">
        <f>SUM(S33:S36)</f>
        <v>201</v>
      </c>
      <c r="T10" s="50">
        <f>SUM(T33:T36)</f>
        <v>206</v>
      </c>
      <c r="U10" s="50">
        <f t="shared" si="4"/>
        <v>-5</v>
      </c>
      <c r="V10" s="50">
        <f>V36</f>
        <v>1249</v>
      </c>
      <c r="W10" s="50">
        <f>SUM(W33:W36)</f>
        <v>157</v>
      </c>
      <c r="X10" s="50">
        <f>SUM(X33:X36)</f>
        <v>91</v>
      </c>
      <c r="Y10" s="50">
        <f t="shared" si="5"/>
        <v>66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 s="48"/>
    </row>
    <row r="11" spans="1:46" s="5" customFormat="1" ht="12.75">
      <c r="A11" s="49" t="s">
        <v>17</v>
      </c>
      <c r="B11" s="50">
        <f>B40</f>
        <v>1910</v>
      </c>
      <c r="C11" s="50">
        <f>SUM(C37:C40)</f>
        <v>70</v>
      </c>
      <c r="D11" s="50">
        <f>SUM(D37:D40)</f>
        <v>91</v>
      </c>
      <c r="E11" s="50">
        <f t="shared" si="0"/>
        <v>-21</v>
      </c>
      <c r="F11" s="50">
        <f>F40</f>
        <v>5767</v>
      </c>
      <c r="G11" s="50">
        <f>SUM(G37:G40)</f>
        <v>412</v>
      </c>
      <c r="H11" s="50">
        <f>SUM(H37:H40)</f>
        <v>461</v>
      </c>
      <c r="I11" s="50">
        <f t="shared" si="1"/>
        <v>-49</v>
      </c>
      <c r="J11" s="50">
        <f>J40</f>
        <v>6926</v>
      </c>
      <c r="K11" s="50">
        <f>SUM(K37:K40)</f>
        <v>418</v>
      </c>
      <c r="L11" s="50">
        <f>SUM(L37:L40)</f>
        <v>508</v>
      </c>
      <c r="M11" s="50">
        <f t="shared" si="2"/>
        <v>-90</v>
      </c>
      <c r="N11" s="50">
        <f>N40</f>
        <v>2289</v>
      </c>
      <c r="O11" s="50">
        <f>SUM(O37:O40)</f>
        <v>112</v>
      </c>
      <c r="P11" s="50">
        <f>SUM(P37:P40)</f>
        <v>175</v>
      </c>
      <c r="Q11" s="50">
        <f t="shared" si="3"/>
        <v>-63</v>
      </c>
      <c r="R11" s="50">
        <f>R40</f>
        <v>2946</v>
      </c>
      <c r="S11" s="50">
        <f>SUM(S37:S40)</f>
        <v>234</v>
      </c>
      <c r="T11" s="50">
        <f>SUM(T37:T40)</f>
        <v>264</v>
      </c>
      <c r="U11" s="50">
        <f t="shared" si="4"/>
        <v>-30</v>
      </c>
      <c r="V11" s="50">
        <f>V40</f>
        <v>1372</v>
      </c>
      <c r="W11" s="50">
        <f>SUM(W37:W40)</f>
        <v>196</v>
      </c>
      <c r="X11" s="50">
        <f>SUM(X37:X40)</f>
        <v>120</v>
      </c>
      <c r="Y11" s="50">
        <f t="shared" si="5"/>
        <v>76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 s="48"/>
    </row>
    <row r="12" spans="1:46" s="5" customFormat="1" ht="12.75">
      <c r="A12" s="49" t="s">
        <v>18</v>
      </c>
      <c r="B12" s="50">
        <v>1907</v>
      </c>
      <c r="C12" s="50">
        <f>SUM(C41:C44)</f>
        <v>72</v>
      </c>
      <c r="D12" s="50">
        <f>SUM(D41:D44)</f>
        <v>84</v>
      </c>
      <c r="E12" s="50">
        <f t="shared" si="0"/>
        <v>-12</v>
      </c>
      <c r="F12" s="50">
        <v>5809</v>
      </c>
      <c r="G12" s="50">
        <f>SUM(G41:G44)</f>
        <v>395</v>
      </c>
      <c r="H12" s="50">
        <f>SUM(H41:H44)</f>
        <v>426</v>
      </c>
      <c r="I12" s="50">
        <f t="shared" si="1"/>
        <v>-31</v>
      </c>
      <c r="J12" s="50">
        <v>6913</v>
      </c>
      <c r="K12" s="50">
        <f>SUM(K41:K44)</f>
        <v>374</v>
      </c>
      <c r="L12" s="50">
        <f>SUM(L41:L44)</f>
        <v>427</v>
      </c>
      <c r="M12" s="50">
        <f t="shared" si="2"/>
        <v>-53</v>
      </c>
      <c r="N12" s="50">
        <v>2321</v>
      </c>
      <c r="O12" s="50">
        <f>SUM(O41:O44)</f>
        <v>146</v>
      </c>
      <c r="P12" s="50">
        <f>SUM(P41:P44)</f>
        <v>157</v>
      </c>
      <c r="Q12" s="50">
        <f t="shared" si="3"/>
        <v>-11</v>
      </c>
      <c r="R12" s="50">
        <v>2998</v>
      </c>
      <c r="S12" s="50">
        <f aca="true" t="shared" si="6" ref="S12:X12">SUM(S41:S44)</f>
        <v>206</v>
      </c>
      <c r="T12" s="50">
        <f t="shared" si="6"/>
        <v>207</v>
      </c>
      <c r="U12" s="50">
        <f t="shared" si="4"/>
        <v>-1</v>
      </c>
      <c r="V12" s="50">
        <v>1459</v>
      </c>
      <c r="W12" s="50">
        <f t="shared" si="6"/>
        <v>167</v>
      </c>
      <c r="X12" s="50">
        <f t="shared" si="6"/>
        <v>115</v>
      </c>
      <c r="Y12" s="50">
        <f t="shared" si="5"/>
        <v>52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 s="48"/>
    </row>
    <row r="13" spans="1:46" s="5" customFormat="1" ht="12.75">
      <c r="A13" s="49" t="s">
        <v>19</v>
      </c>
      <c r="B13" s="50">
        <v>1892</v>
      </c>
      <c r="C13" s="50">
        <f>SUM(C45:C48)</f>
        <v>71</v>
      </c>
      <c r="D13" s="50">
        <f>SUM(D45:D48)</f>
        <v>95</v>
      </c>
      <c r="E13" s="50">
        <f t="shared" si="0"/>
        <v>-24</v>
      </c>
      <c r="F13" s="50">
        <v>5851</v>
      </c>
      <c r="G13" s="50">
        <f>SUM(G45:G48)</f>
        <v>363</v>
      </c>
      <c r="H13" s="50">
        <f>SUM(H45:H48)</f>
        <v>443</v>
      </c>
      <c r="I13" s="50">
        <f t="shared" si="1"/>
        <v>-80</v>
      </c>
      <c r="J13" s="50">
        <v>6909</v>
      </c>
      <c r="K13" s="50">
        <f>SUM(K45:K48)</f>
        <v>389</v>
      </c>
      <c r="L13" s="50">
        <f>SUM(L45:L48)</f>
        <v>526</v>
      </c>
      <c r="M13" s="50">
        <f t="shared" si="2"/>
        <v>-137</v>
      </c>
      <c r="N13" s="50">
        <v>2364</v>
      </c>
      <c r="O13" s="50">
        <f>SUM(O45:O48)</f>
        <v>119</v>
      </c>
      <c r="P13" s="50">
        <f>SUM(P45:P48)</f>
        <v>171</v>
      </c>
      <c r="Q13" s="50">
        <f t="shared" si="3"/>
        <v>-52</v>
      </c>
      <c r="R13" s="50">
        <v>3074</v>
      </c>
      <c r="S13" s="50">
        <f>SUM(S45:S48)</f>
        <v>199</v>
      </c>
      <c r="T13" s="50">
        <f>SUM(T45:T48)</f>
        <v>192</v>
      </c>
      <c r="U13" s="50">
        <f t="shared" si="4"/>
        <v>7</v>
      </c>
      <c r="V13" s="50">
        <v>1438</v>
      </c>
      <c r="W13" s="50">
        <f>SUM(W45:W48)</f>
        <v>112</v>
      </c>
      <c r="X13" s="50">
        <f>SUM(X45:X48)</f>
        <v>167</v>
      </c>
      <c r="Y13" s="50">
        <f t="shared" si="5"/>
        <v>-55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 s="48"/>
    </row>
    <row r="14" spans="1:46" s="5" customFormat="1" ht="12.75">
      <c r="A14" s="49" t="s">
        <v>20</v>
      </c>
      <c r="B14" s="50">
        <f>B52</f>
        <v>1865</v>
      </c>
      <c r="C14" s="50">
        <f>SUM(C49:C52)</f>
        <v>70</v>
      </c>
      <c r="D14" s="50">
        <f>SUM(D49:D52)</f>
        <v>109</v>
      </c>
      <c r="E14" s="50">
        <f t="shared" si="0"/>
        <v>-39</v>
      </c>
      <c r="F14" s="60">
        <v>5835</v>
      </c>
      <c r="G14" s="50">
        <f>SUM(G49:G52)</f>
        <v>360</v>
      </c>
      <c r="H14" s="50">
        <f>SUM(H49:H52)</f>
        <v>439</v>
      </c>
      <c r="I14" s="50">
        <f t="shared" si="1"/>
        <v>-79</v>
      </c>
      <c r="J14" s="60">
        <v>6991</v>
      </c>
      <c r="K14" s="50">
        <f>SUM(K49:K52)</f>
        <v>443</v>
      </c>
      <c r="L14" s="50">
        <f>SUM(L49:L52)</f>
        <v>452</v>
      </c>
      <c r="M14" s="50">
        <f t="shared" si="2"/>
        <v>-9</v>
      </c>
      <c r="N14" s="60">
        <v>2402</v>
      </c>
      <c r="O14" s="50">
        <f>SUM(O49:O52)</f>
        <v>107</v>
      </c>
      <c r="P14" s="50">
        <f>SUM(P49:P52)</f>
        <v>167</v>
      </c>
      <c r="Q14" s="50">
        <f t="shared" si="3"/>
        <v>-60</v>
      </c>
      <c r="R14" s="60">
        <v>3117</v>
      </c>
      <c r="S14" s="50">
        <f>SUM(S49:S52)</f>
        <v>183</v>
      </c>
      <c r="T14" s="50">
        <f>SUM(T49:T52)</f>
        <v>192</v>
      </c>
      <c r="U14" s="50">
        <f t="shared" si="4"/>
        <v>-9</v>
      </c>
      <c r="V14" s="60">
        <v>1402</v>
      </c>
      <c r="W14" s="50">
        <f>SUM(W49:W52)</f>
        <v>96</v>
      </c>
      <c r="X14" s="50">
        <f>SUM(X49:X52)</f>
        <v>140</v>
      </c>
      <c r="Y14" s="50">
        <f t="shared" si="5"/>
        <v>-44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 s="48"/>
    </row>
    <row r="15" spans="1:46" s="5" customFormat="1" ht="12.75">
      <c r="A15" s="49" t="s">
        <v>62</v>
      </c>
      <c r="B15" s="50">
        <v>1849</v>
      </c>
      <c r="C15" s="50">
        <f>SUM(C53:C56)</f>
        <v>95</v>
      </c>
      <c r="D15" s="50">
        <f>SUM(D53:D56)</f>
        <v>112</v>
      </c>
      <c r="E15" s="50">
        <f t="shared" si="0"/>
        <v>-17</v>
      </c>
      <c r="F15" s="60">
        <v>5866</v>
      </c>
      <c r="G15" s="50">
        <f>SUM(G53:G56)</f>
        <v>380</v>
      </c>
      <c r="H15" s="50">
        <f>SUM(H53:H56)</f>
        <v>414</v>
      </c>
      <c r="I15" s="50">
        <f t="shared" si="1"/>
        <v>-34</v>
      </c>
      <c r="J15" s="60">
        <v>7119</v>
      </c>
      <c r="K15" s="50">
        <f>SUM(K53:K56)</f>
        <v>499</v>
      </c>
      <c r="L15" s="50">
        <f>SUM(L53:L56)</f>
        <v>491</v>
      </c>
      <c r="M15" s="50">
        <f t="shared" si="2"/>
        <v>8</v>
      </c>
      <c r="N15" s="60">
        <v>2486</v>
      </c>
      <c r="O15" s="50">
        <f>SUM(O53:O56)</f>
        <v>175</v>
      </c>
      <c r="P15" s="50">
        <f>SUM(P53:P56)</f>
        <v>196</v>
      </c>
      <c r="Q15" s="50">
        <f t="shared" si="3"/>
        <v>-21</v>
      </c>
      <c r="R15" s="60">
        <v>3177</v>
      </c>
      <c r="S15" s="50">
        <f>SUM(S53:S56)</f>
        <v>224</v>
      </c>
      <c r="T15" s="50">
        <f>SUM(T53:T56)</f>
        <v>205</v>
      </c>
      <c r="U15" s="50">
        <f t="shared" si="4"/>
        <v>19</v>
      </c>
      <c r="V15" s="60">
        <v>1348</v>
      </c>
      <c r="W15" s="50">
        <f>SUM(W53:W56)</f>
        <v>115</v>
      </c>
      <c r="X15" s="50">
        <f>SUM(X53:X56)</f>
        <v>94</v>
      </c>
      <c r="Y15" s="50">
        <f t="shared" si="5"/>
        <v>21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 s="48"/>
    </row>
    <row r="16" spans="1:46" s="5" customFormat="1" ht="9" customHeight="1">
      <c r="A16" s="52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 s="48"/>
    </row>
    <row r="17" spans="1:46" s="55" customFormat="1" ht="12.75">
      <c r="A17" s="53" t="s">
        <v>21</v>
      </c>
      <c r="B17" s="50">
        <v>2049</v>
      </c>
      <c r="C17" s="50">
        <v>42</v>
      </c>
      <c r="D17" s="50">
        <v>54</v>
      </c>
      <c r="E17" s="50">
        <f aca="true" t="shared" si="7" ref="E17:E56">C17-D17</f>
        <v>-12</v>
      </c>
      <c r="F17" s="50">
        <v>5260</v>
      </c>
      <c r="G17" s="50">
        <v>168</v>
      </c>
      <c r="H17" s="50">
        <v>189</v>
      </c>
      <c r="I17" s="50">
        <f aca="true" t="shared" si="8" ref="I17:I56">G17-H17</f>
        <v>-21</v>
      </c>
      <c r="J17" s="50">
        <v>7409</v>
      </c>
      <c r="K17" s="50">
        <v>133</v>
      </c>
      <c r="L17" s="50">
        <v>250</v>
      </c>
      <c r="M17" s="50">
        <f aca="true" t="shared" si="9" ref="M17:M56">K17-L17</f>
        <v>-117</v>
      </c>
      <c r="N17" s="50">
        <v>2136</v>
      </c>
      <c r="O17" s="50">
        <v>86</v>
      </c>
      <c r="P17" s="50">
        <v>85</v>
      </c>
      <c r="Q17" s="50">
        <f aca="true" t="shared" si="10" ref="Q17:Q56">O17-P17</f>
        <v>1</v>
      </c>
      <c r="R17" s="50">
        <v>2795</v>
      </c>
      <c r="S17" s="50">
        <v>51</v>
      </c>
      <c r="T17" s="50">
        <v>92</v>
      </c>
      <c r="U17" s="50">
        <f aca="true" t="shared" si="11" ref="U17:U56">S17-T17</f>
        <v>-41</v>
      </c>
      <c r="V17" s="50">
        <v>1160</v>
      </c>
      <c r="W17" s="50">
        <v>42</v>
      </c>
      <c r="X17" s="50">
        <v>55</v>
      </c>
      <c r="Y17" s="50">
        <f aca="true" t="shared" si="12" ref="Y17:Y56">W17-X17</f>
        <v>-13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 s="54"/>
    </row>
    <row r="18" spans="1:46" s="55" customFormat="1" ht="12.75" customHeight="1">
      <c r="A18" s="53" t="s">
        <v>22</v>
      </c>
      <c r="B18" s="50">
        <v>2045</v>
      </c>
      <c r="C18" s="50">
        <v>24</v>
      </c>
      <c r="D18" s="50">
        <v>16</v>
      </c>
      <c r="E18" s="50">
        <f t="shared" si="7"/>
        <v>8</v>
      </c>
      <c r="F18" s="50">
        <v>5348</v>
      </c>
      <c r="G18" s="50">
        <v>145</v>
      </c>
      <c r="H18" s="50">
        <v>60</v>
      </c>
      <c r="I18" s="50">
        <f t="shared" si="8"/>
        <v>85</v>
      </c>
      <c r="J18" s="50">
        <v>7436</v>
      </c>
      <c r="K18" s="50">
        <v>125</v>
      </c>
      <c r="L18" s="50">
        <v>62</v>
      </c>
      <c r="M18" s="50">
        <f t="shared" si="9"/>
        <v>63</v>
      </c>
      <c r="N18" s="50">
        <v>2135</v>
      </c>
      <c r="O18" s="50">
        <v>71</v>
      </c>
      <c r="P18" s="50">
        <v>33</v>
      </c>
      <c r="Q18" s="50">
        <f t="shared" si="10"/>
        <v>38</v>
      </c>
      <c r="R18" s="50">
        <v>2808</v>
      </c>
      <c r="S18" s="50">
        <v>65</v>
      </c>
      <c r="T18" s="50">
        <v>51</v>
      </c>
      <c r="U18" s="50">
        <f t="shared" si="11"/>
        <v>14</v>
      </c>
      <c r="V18" s="50">
        <v>1170</v>
      </c>
      <c r="W18" s="50">
        <v>42</v>
      </c>
      <c r="X18" s="50">
        <v>17</v>
      </c>
      <c r="Y18" s="50">
        <f t="shared" si="12"/>
        <v>25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 s="54"/>
    </row>
    <row r="19" spans="1:46" s="55" customFormat="1" ht="12.75">
      <c r="A19" s="53" t="s">
        <v>23</v>
      </c>
      <c r="B19" s="50">
        <v>2049</v>
      </c>
      <c r="C19" s="50">
        <v>17</v>
      </c>
      <c r="D19" s="50">
        <v>16</v>
      </c>
      <c r="E19" s="50">
        <f t="shared" si="7"/>
        <v>1</v>
      </c>
      <c r="F19" s="50">
        <v>5423</v>
      </c>
      <c r="G19" s="50">
        <v>138</v>
      </c>
      <c r="H19" s="50">
        <v>77</v>
      </c>
      <c r="I19" s="50">
        <f t="shared" si="8"/>
        <v>61</v>
      </c>
      <c r="J19" s="50">
        <v>7424</v>
      </c>
      <c r="K19" s="50">
        <v>95</v>
      </c>
      <c r="L19" s="50">
        <v>101</v>
      </c>
      <c r="M19" s="50">
        <f t="shared" si="9"/>
        <v>-6</v>
      </c>
      <c r="N19" s="50">
        <v>2160</v>
      </c>
      <c r="O19" s="50">
        <v>90</v>
      </c>
      <c r="P19" s="50">
        <v>34</v>
      </c>
      <c r="Q19" s="50">
        <f t="shared" si="10"/>
        <v>56</v>
      </c>
      <c r="R19" s="50">
        <v>2818</v>
      </c>
      <c r="S19" s="50">
        <v>62</v>
      </c>
      <c r="T19" s="50">
        <v>45</v>
      </c>
      <c r="U19" s="50">
        <f t="shared" si="11"/>
        <v>17</v>
      </c>
      <c r="V19" s="50">
        <v>1140</v>
      </c>
      <c r="W19" s="50">
        <v>38</v>
      </c>
      <c r="X19" s="50">
        <v>17</v>
      </c>
      <c r="Y19" s="50">
        <f t="shared" si="12"/>
        <v>21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 s="54"/>
    </row>
    <row r="20" spans="1:46" s="55" customFormat="1" ht="12.75">
      <c r="A20" s="53" t="s">
        <v>24</v>
      </c>
      <c r="B20" s="50">
        <v>2029</v>
      </c>
      <c r="C20" s="50">
        <f>C6-C17-C18-C19</f>
        <v>12</v>
      </c>
      <c r="D20" s="50">
        <f>D6-D17-D18-D19</f>
        <v>34</v>
      </c>
      <c r="E20" s="50">
        <f t="shared" si="7"/>
        <v>-22</v>
      </c>
      <c r="F20" s="50">
        <v>5438</v>
      </c>
      <c r="G20" s="50">
        <f>G6-G17-G18-G19</f>
        <v>115</v>
      </c>
      <c r="H20" s="50">
        <f>H6-H17-H18-H19</f>
        <v>112</v>
      </c>
      <c r="I20" s="50">
        <f t="shared" si="8"/>
        <v>3</v>
      </c>
      <c r="J20" s="50">
        <v>7460</v>
      </c>
      <c r="K20" s="50">
        <f>K6-K17-K18-K19</f>
        <v>100</v>
      </c>
      <c r="L20" s="50">
        <f>L6-L17-L18-L19</f>
        <v>104</v>
      </c>
      <c r="M20" s="50">
        <f t="shared" si="9"/>
        <v>-4</v>
      </c>
      <c r="N20" s="50">
        <v>2194</v>
      </c>
      <c r="O20" s="50">
        <f>O6-O17-O18-O19</f>
        <v>58</v>
      </c>
      <c r="P20" s="50">
        <f>P6-P17-P18-P19</f>
        <v>70</v>
      </c>
      <c r="Q20" s="50">
        <f t="shared" si="10"/>
        <v>-12</v>
      </c>
      <c r="R20" s="50">
        <v>2831</v>
      </c>
      <c r="S20" s="50">
        <f>S6-S17-S18-S19</f>
        <v>62</v>
      </c>
      <c r="T20" s="50">
        <f>T6-T17-T18-T19</f>
        <v>56</v>
      </c>
      <c r="U20" s="50">
        <f t="shared" si="11"/>
        <v>6</v>
      </c>
      <c r="V20" s="50">
        <v>1093</v>
      </c>
      <c r="W20" s="50">
        <f>W6-W17-W18-W19</f>
        <v>23</v>
      </c>
      <c r="X20" s="50">
        <f>X6-X17-X18-X19</f>
        <v>47</v>
      </c>
      <c r="Y20" s="50">
        <f t="shared" si="12"/>
        <v>-24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 s="54"/>
    </row>
    <row r="21" spans="1:46" s="57" customFormat="1" ht="12.75">
      <c r="A21" s="53" t="s">
        <v>25</v>
      </c>
      <c r="B21" s="60">
        <v>1990</v>
      </c>
      <c r="C21" s="60">
        <v>23</v>
      </c>
      <c r="D21" s="60">
        <v>48</v>
      </c>
      <c r="E21" s="50">
        <f t="shared" si="7"/>
        <v>-25</v>
      </c>
      <c r="F21" s="60">
        <v>5356</v>
      </c>
      <c r="G21" s="60">
        <v>147</v>
      </c>
      <c r="H21" s="60">
        <v>187</v>
      </c>
      <c r="I21" s="50">
        <f t="shared" si="8"/>
        <v>-40</v>
      </c>
      <c r="J21" s="60">
        <v>7319</v>
      </c>
      <c r="K21" s="60">
        <v>114</v>
      </c>
      <c r="L21" s="60">
        <v>243</v>
      </c>
      <c r="M21" s="50">
        <f t="shared" si="9"/>
        <v>-129</v>
      </c>
      <c r="N21" s="60">
        <v>2169</v>
      </c>
      <c r="O21" s="60">
        <v>62</v>
      </c>
      <c r="P21" s="60">
        <v>86</v>
      </c>
      <c r="Q21" s="50">
        <f t="shared" si="10"/>
        <v>-24</v>
      </c>
      <c r="R21" s="60">
        <v>2790</v>
      </c>
      <c r="S21" s="60">
        <v>65</v>
      </c>
      <c r="T21" s="60">
        <v>102</v>
      </c>
      <c r="U21" s="50">
        <f t="shared" si="11"/>
        <v>-37</v>
      </c>
      <c r="V21" s="60">
        <v>1076</v>
      </c>
      <c r="W21" s="60">
        <v>33</v>
      </c>
      <c r="X21" s="60">
        <v>49</v>
      </c>
      <c r="Y21" s="50">
        <f t="shared" si="12"/>
        <v>-16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 s="35"/>
    </row>
    <row r="22" spans="1:46" s="57" customFormat="1" ht="12.75">
      <c r="A22" s="53" t="s">
        <v>22</v>
      </c>
      <c r="B22" s="60">
        <v>2000</v>
      </c>
      <c r="C22" s="60">
        <v>28</v>
      </c>
      <c r="D22" s="60">
        <v>18</v>
      </c>
      <c r="E22" s="50">
        <f t="shared" si="7"/>
        <v>10</v>
      </c>
      <c r="F22" s="60">
        <v>5382</v>
      </c>
      <c r="G22" s="60">
        <v>123</v>
      </c>
      <c r="H22" s="60">
        <v>77</v>
      </c>
      <c r="I22" s="50">
        <f t="shared" si="8"/>
        <v>46</v>
      </c>
      <c r="J22" s="60">
        <v>7382</v>
      </c>
      <c r="K22" s="60">
        <v>105</v>
      </c>
      <c r="L22" s="60">
        <v>86</v>
      </c>
      <c r="M22" s="50">
        <f t="shared" si="9"/>
        <v>19</v>
      </c>
      <c r="N22" s="60">
        <v>2173</v>
      </c>
      <c r="O22" s="60">
        <v>37</v>
      </c>
      <c r="P22" s="60">
        <v>32</v>
      </c>
      <c r="Q22" s="50">
        <f t="shared" si="10"/>
        <v>5</v>
      </c>
      <c r="R22" s="60">
        <v>2828</v>
      </c>
      <c r="S22" s="60">
        <v>66</v>
      </c>
      <c r="T22" s="60">
        <v>46</v>
      </c>
      <c r="U22" s="50">
        <f t="shared" si="11"/>
        <v>20</v>
      </c>
      <c r="V22" s="60">
        <v>1075</v>
      </c>
      <c r="W22" s="60">
        <v>23</v>
      </c>
      <c r="X22" s="60">
        <v>22</v>
      </c>
      <c r="Y22" s="50">
        <f t="shared" si="12"/>
        <v>1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 s="35"/>
    </row>
    <row r="23" spans="1:46" s="57" customFormat="1" ht="12.75">
      <c r="A23" s="53" t="s">
        <v>23</v>
      </c>
      <c r="B23" s="60">
        <v>1990</v>
      </c>
      <c r="C23" s="60">
        <v>11</v>
      </c>
      <c r="D23" s="60">
        <v>21</v>
      </c>
      <c r="E23" s="50">
        <f t="shared" si="7"/>
        <v>-10</v>
      </c>
      <c r="F23" s="60">
        <v>5381</v>
      </c>
      <c r="G23" s="60">
        <v>73</v>
      </c>
      <c r="H23" s="60">
        <v>96</v>
      </c>
      <c r="I23" s="50">
        <f t="shared" si="8"/>
        <v>-23</v>
      </c>
      <c r="J23" s="60">
        <v>7369</v>
      </c>
      <c r="K23" s="60">
        <v>62</v>
      </c>
      <c r="L23" s="60">
        <v>83</v>
      </c>
      <c r="M23" s="50">
        <f t="shared" si="9"/>
        <v>-21</v>
      </c>
      <c r="N23" s="60">
        <v>2191</v>
      </c>
      <c r="O23" s="60">
        <v>31</v>
      </c>
      <c r="P23" s="60">
        <v>30</v>
      </c>
      <c r="Q23" s="50">
        <f t="shared" si="10"/>
        <v>1</v>
      </c>
      <c r="R23" s="60">
        <v>2833</v>
      </c>
      <c r="S23" s="60">
        <v>40</v>
      </c>
      <c r="T23" s="60">
        <v>39</v>
      </c>
      <c r="U23" s="50">
        <f t="shared" si="11"/>
        <v>1</v>
      </c>
      <c r="V23" s="60">
        <v>1086</v>
      </c>
      <c r="W23" s="60">
        <v>25</v>
      </c>
      <c r="X23" s="60">
        <v>20</v>
      </c>
      <c r="Y23" s="50">
        <f t="shared" si="12"/>
        <v>5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 s="35"/>
    </row>
    <row r="24" spans="1:46" s="57" customFormat="1" ht="12.75">
      <c r="A24" s="53" t="s">
        <v>24</v>
      </c>
      <c r="B24" s="60">
        <f>B7</f>
        <v>1980</v>
      </c>
      <c r="C24" s="60">
        <f>C7-C23-C22-C21</f>
        <v>9</v>
      </c>
      <c r="D24" s="60">
        <f>D7-D23-D22-D21</f>
        <v>25</v>
      </c>
      <c r="E24" s="50">
        <f t="shared" si="7"/>
        <v>-16</v>
      </c>
      <c r="F24" s="60">
        <f>F7</f>
        <v>5407</v>
      </c>
      <c r="G24" s="60">
        <f>G7-G23-G22-G21</f>
        <v>72</v>
      </c>
      <c r="H24" s="60">
        <f>H7-H23-H22-H21</f>
        <v>112</v>
      </c>
      <c r="I24" s="50">
        <f t="shared" si="8"/>
        <v>-40</v>
      </c>
      <c r="J24" s="60">
        <f>J7</f>
        <v>7334</v>
      </c>
      <c r="K24" s="60">
        <f>K7-K23-K22-K21</f>
        <v>59</v>
      </c>
      <c r="L24" s="60">
        <f>L7-L23-L22-L21</f>
        <v>147</v>
      </c>
      <c r="M24" s="50">
        <f t="shared" si="9"/>
        <v>-88</v>
      </c>
      <c r="N24" s="60">
        <f>N7</f>
        <v>2199</v>
      </c>
      <c r="O24" s="60">
        <f>O7-O23-O22-O21</f>
        <v>25</v>
      </c>
      <c r="P24" s="60">
        <f>P7-P23-P22-P21</f>
        <v>63</v>
      </c>
      <c r="Q24" s="50">
        <f t="shared" si="10"/>
        <v>-38</v>
      </c>
      <c r="R24" s="60">
        <f>R7</f>
        <v>2849</v>
      </c>
      <c r="S24" s="60">
        <f>S7-S23-S22-S21</f>
        <v>49</v>
      </c>
      <c r="T24" s="60">
        <f>T7-T23-T22-T21</f>
        <v>44</v>
      </c>
      <c r="U24" s="50">
        <f t="shared" si="11"/>
        <v>5</v>
      </c>
      <c r="V24" s="60">
        <f>V7</f>
        <v>1091</v>
      </c>
      <c r="W24" s="60">
        <f>W7-W23-W22-W21</f>
        <v>19</v>
      </c>
      <c r="X24" s="60">
        <f>X7-X23-X22-X21</f>
        <v>28</v>
      </c>
      <c r="Y24" s="50">
        <f t="shared" si="12"/>
        <v>-9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 s="35"/>
    </row>
    <row r="25" spans="1:46" s="57" customFormat="1" ht="12.75" customHeight="1">
      <c r="A25" s="53" t="s">
        <v>26</v>
      </c>
      <c r="B25" s="60">
        <v>1954</v>
      </c>
      <c r="C25" s="60">
        <v>17</v>
      </c>
      <c r="D25" s="60">
        <v>44</v>
      </c>
      <c r="E25" s="50">
        <f t="shared" si="7"/>
        <v>-27</v>
      </c>
      <c r="F25" s="60">
        <v>5406</v>
      </c>
      <c r="G25" s="60">
        <v>122</v>
      </c>
      <c r="H25" s="60">
        <v>154</v>
      </c>
      <c r="I25" s="50">
        <f t="shared" si="8"/>
        <v>-32</v>
      </c>
      <c r="J25" s="60">
        <v>7214</v>
      </c>
      <c r="K25" s="60">
        <v>80</v>
      </c>
      <c r="L25" s="60">
        <v>209</v>
      </c>
      <c r="M25" s="50">
        <f t="shared" si="9"/>
        <v>-129</v>
      </c>
      <c r="N25" s="60">
        <v>2185</v>
      </c>
      <c r="O25" s="60">
        <v>25</v>
      </c>
      <c r="P25" s="60">
        <v>70</v>
      </c>
      <c r="Q25" s="50">
        <f t="shared" si="10"/>
        <v>-45</v>
      </c>
      <c r="R25" s="60">
        <v>2822</v>
      </c>
      <c r="S25" s="60">
        <v>41</v>
      </c>
      <c r="T25" s="60">
        <v>70</v>
      </c>
      <c r="U25" s="50">
        <f t="shared" si="11"/>
        <v>-29</v>
      </c>
      <c r="V25" s="60">
        <v>1110</v>
      </c>
      <c r="W25" s="60">
        <v>44</v>
      </c>
      <c r="X25" s="60">
        <v>32</v>
      </c>
      <c r="Y25" s="50">
        <f t="shared" si="12"/>
        <v>12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 s="35"/>
    </row>
    <row r="26" spans="1:46" s="57" customFormat="1" ht="12.75">
      <c r="A26" s="53" t="s">
        <v>22</v>
      </c>
      <c r="B26" s="60">
        <v>1965</v>
      </c>
      <c r="C26" s="60">
        <v>13</v>
      </c>
      <c r="D26" s="60">
        <v>14</v>
      </c>
      <c r="E26" s="50">
        <f t="shared" si="7"/>
        <v>-1</v>
      </c>
      <c r="F26" s="60">
        <v>5446</v>
      </c>
      <c r="G26" s="60">
        <v>84</v>
      </c>
      <c r="H26" s="60">
        <v>85</v>
      </c>
      <c r="I26" s="50">
        <f t="shared" si="8"/>
        <v>-1</v>
      </c>
      <c r="J26" s="60">
        <v>7212</v>
      </c>
      <c r="K26" s="60">
        <v>59</v>
      </c>
      <c r="L26" s="60">
        <v>84</v>
      </c>
      <c r="M26" s="50">
        <f t="shared" si="9"/>
        <v>-25</v>
      </c>
      <c r="N26" s="60">
        <v>2213</v>
      </c>
      <c r="O26" s="60">
        <v>31</v>
      </c>
      <c r="P26" s="60">
        <v>24</v>
      </c>
      <c r="Q26" s="50">
        <f t="shared" si="10"/>
        <v>7</v>
      </c>
      <c r="R26" s="61">
        <v>2858</v>
      </c>
      <c r="S26" s="61">
        <v>69</v>
      </c>
      <c r="T26" s="61">
        <v>38</v>
      </c>
      <c r="U26" s="50">
        <f t="shared" si="11"/>
        <v>31</v>
      </c>
      <c r="V26" s="60">
        <v>1113</v>
      </c>
      <c r="W26" s="61">
        <v>24</v>
      </c>
      <c r="X26" s="61">
        <v>26</v>
      </c>
      <c r="Y26" s="50">
        <f t="shared" si="12"/>
        <v>-2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 s="35"/>
    </row>
    <row r="27" spans="1:46" s="57" customFormat="1" ht="12.75" customHeight="1">
      <c r="A27" s="53" t="s">
        <v>23</v>
      </c>
      <c r="B27" s="60">
        <v>1966</v>
      </c>
      <c r="C27" s="60">
        <v>16</v>
      </c>
      <c r="D27" s="60">
        <v>17</v>
      </c>
      <c r="E27" s="50">
        <f t="shared" si="7"/>
        <v>-1</v>
      </c>
      <c r="F27" s="60">
        <v>5481</v>
      </c>
      <c r="G27" s="60">
        <v>97</v>
      </c>
      <c r="H27" s="60">
        <v>81</v>
      </c>
      <c r="I27" s="50">
        <f t="shared" si="8"/>
        <v>16</v>
      </c>
      <c r="J27" s="60">
        <v>7192</v>
      </c>
      <c r="K27" s="60">
        <v>59</v>
      </c>
      <c r="L27" s="60">
        <v>81</v>
      </c>
      <c r="M27" s="50">
        <f t="shared" si="9"/>
        <v>-22</v>
      </c>
      <c r="N27" s="60">
        <v>2214</v>
      </c>
      <c r="O27" s="60">
        <v>25</v>
      </c>
      <c r="P27" s="60">
        <v>27</v>
      </c>
      <c r="Q27" s="50">
        <f t="shared" si="10"/>
        <v>-2</v>
      </c>
      <c r="R27" s="60">
        <v>2852</v>
      </c>
      <c r="S27" s="61">
        <v>39</v>
      </c>
      <c r="T27" s="61">
        <v>42</v>
      </c>
      <c r="U27" s="50">
        <f t="shared" si="11"/>
        <v>-3</v>
      </c>
      <c r="V27" s="60">
        <v>1126</v>
      </c>
      <c r="W27" s="61">
        <v>24</v>
      </c>
      <c r="X27" s="61">
        <v>14</v>
      </c>
      <c r="Y27" s="50">
        <f t="shared" si="12"/>
        <v>10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 s="35"/>
    </row>
    <row r="28" spans="1:46" s="57" customFormat="1" ht="12.75">
      <c r="A28" s="53" t="s">
        <v>24</v>
      </c>
      <c r="B28" s="60">
        <v>1977</v>
      </c>
      <c r="C28" s="60">
        <f>C8-C27-C26-C25</f>
        <v>16</v>
      </c>
      <c r="D28" s="60">
        <f>D8-D27-D26-D25</f>
        <v>20</v>
      </c>
      <c r="E28" s="50">
        <f t="shared" si="7"/>
        <v>-4</v>
      </c>
      <c r="F28" s="60">
        <v>5522</v>
      </c>
      <c r="G28" s="60">
        <f>G8-G27-G26-G25</f>
        <v>95</v>
      </c>
      <c r="H28" s="60">
        <f>H8-H27-H26-H25</f>
        <v>110</v>
      </c>
      <c r="I28" s="50">
        <f t="shared" si="8"/>
        <v>-15</v>
      </c>
      <c r="J28" s="60">
        <v>7169</v>
      </c>
      <c r="K28" s="60">
        <f>K8-K27-K26-K25</f>
        <v>68</v>
      </c>
      <c r="L28" s="60">
        <f>L8-L27-L26-L25</f>
        <v>117</v>
      </c>
      <c r="M28" s="50">
        <f t="shared" si="9"/>
        <v>-49</v>
      </c>
      <c r="N28" s="60">
        <v>2212</v>
      </c>
      <c r="O28" s="60">
        <f>O8-O27-O26-O25</f>
        <v>34</v>
      </c>
      <c r="P28" s="60">
        <f>P8-P27-P26-P25</f>
        <v>64</v>
      </c>
      <c r="Q28" s="50">
        <f t="shared" si="10"/>
        <v>-30</v>
      </c>
      <c r="R28" s="60">
        <v>2882</v>
      </c>
      <c r="S28" s="60">
        <f>S8-S27-S26-S25</f>
        <v>64</v>
      </c>
      <c r="T28" s="60">
        <f>T8-T27-T26-T25</f>
        <v>48</v>
      </c>
      <c r="U28" s="50">
        <f t="shared" si="11"/>
        <v>16</v>
      </c>
      <c r="V28" s="60">
        <v>1126</v>
      </c>
      <c r="W28" s="60">
        <f>W8-W27-W26-W25</f>
        <v>30</v>
      </c>
      <c r="X28" s="60">
        <f>X8-X27-X26-X25</f>
        <v>37</v>
      </c>
      <c r="Y28" s="50">
        <f t="shared" si="12"/>
        <v>-7</v>
      </c>
      <c r="Z28" s="56"/>
      <c r="AA28" s="56"/>
      <c r="AB28" s="56"/>
      <c r="AC28" s="51"/>
      <c r="AD28" s="56"/>
      <c r="AE28" s="56"/>
      <c r="AF28" s="56"/>
      <c r="AG28" s="51"/>
      <c r="AH28" s="56"/>
      <c r="AI28" s="56"/>
      <c r="AJ28" s="56"/>
      <c r="AK28" s="51"/>
      <c r="AL28" s="56"/>
      <c r="AM28" s="56"/>
      <c r="AN28" s="56"/>
      <c r="AO28" s="51"/>
      <c r="AP28" s="51"/>
      <c r="AQ28" s="51"/>
      <c r="AR28" s="51"/>
      <c r="AS28" s="51"/>
      <c r="AT28" s="35"/>
    </row>
    <row r="29" spans="1:46" s="57" customFormat="1" ht="12.75" customHeight="1">
      <c r="A29" s="53" t="s">
        <v>27</v>
      </c>
      <c r="B29" s="60">
        <v>1939</v>
      </c>
      <c r="C29" s="60">
        <v>13</v>
      </c>
      <c r="D29" s="60">
        <v>49</v>
      </c>
      <c r="E29" s="50">
        <f t="shared" si="7"/>
        <v>-36</v>
      </c>
      <c r="F29" s="60">
        <v>5530</v>
      </c>
      <c r="G29" s="60">
        <v>129</v>
      </c>
      <c r="H29" s="60">
        <v>152</v>
      </c>
      <c r="I29" s="50">
        <f t="shared" si="8"/>
        <v>-23</v>
      </c>
      <c r="J29" s="60">
        <v>7066</v>
      </c>
      <c r="K29" s="60">
        <v>97</v>
      </c>
      <c r="L29" s="60">
        <v>222</v>
      </c>
      <c r="M29" s="50">
        <f t="shared" si="9"/>
        <v>-125</v>
      </c>
      <c r="N29" s="60">
        <v>2205</v>
      </c>
      <c r="O29" s="60">
        <v>47</v>
      </c>
      <c r="P29" s="60">
        <v>69</v>
      </c>
      <c r="Q29" s="50">
        <f t="shared" si="10"/>
        <v>-22</v>
      </c>
      <c r="R29" s="60">
        <v>2896</v>
      </c>
      <c r="S29" s="60">
        <v>68</v>
      </c>
      <c r="T29" s="60">
        <v>67</v>
      </c>
      <c r="U29" s="50">
        <f t="shared" si="11"/>
        <v>1</v>
      </c>
      <c r="V29" s="60">
        <v>1128</v>
      </c>
      <c r="W29" s="60">
        <v>42</v>
      </c>
      <c r="X29" s="60">
        <v>34</v>
      </c>
      <c r="Y29" s="50">
        <f t="shared" si="12"/>
        <v>8</v>
      </c>
      <c r="Z29" s="56"/>
      <c r="AA29" s="56"/>
      <c r="AB29" s="56"/>
      <c r="AC29" s="51"/>
      <c r="AD29" s="56"/>
      <c r="AE29" s="56"/>
      <c r="AF29" s="56"/>
      <c r="AG29" s="51"/>
      <c r="AH29" s="56"/>
      <c r="AI29" s="56"/>
      <c r="AJ29" s="56"/>
      <c r="AK29" s="51"/>
      <c r="AL29" s="56"/>
      <c r="AM29" s="56"/>
      <c r="AN29" s="56"/>
      <c r="AO29" s="51"/>
      <c r="AP29" s="51"/>
      <c r="AQ29" s="51"/>
      <c r="AR29" s="51"/>
      <c r="AS29" s="51"/>
      <c r="AT29" s="35"/>
    </row>
    <row r="30" spans="1:46" s="57" customFormat="1" ht="12.75">
      <c r="A30" s="53" t="s">
        <v>22</v>
      </c>
      <c r="B30" s="60">
        <f>1950</f>
        <v>1950</v>
      </c>
      <c r="C30" s="60">
        <v>17</v>
      </c>
      <c r="D30" s="60">
        <v>10</v>
      </c>
      <c r="E30" s="50">
        <f t="shared" si="7"/>
        <v>7</v>
      </c>
      <c r="F30" s="60">
        <v>5579</v>
      </c>
      <c r="G30" s="60">
        <v>95</v>
      </c>
      <c r="H30" s="60">
        <v>71</v>
      </c>
      <c r="I30" s="50">
        <f t="shared" si="8"/>
        <v>24</v>
      </c>
      <c r="J30" s="60">
        <v>7079</v>
      </c>
      <c r="K30" s="60">
        <v>81</v>
      </c>
      <c r="L30" s="60">
        <v>83</v>
      </c>
      <c r="M30" s="50">
        <f t="shared" si="9"/>
        <v>-2</v>
      </c>
      <c r="N30" s="60">
        <v>2222</v>
      </c>
      <c r="O30" s="60">
        <v>30</v>
      </c>
      <c r="P30" s="60">
        <v>33</v>
      </c>
      <c r="Q30" s="50">
        <f t="shared" si="10"/>
        <v>-3</v>
      </c>
      <c r="R30" s="60">
        <v>2889</v>
      </c>
      <c r="S30" s="60">
        <v>22</v>
      </c>
      <c r="T30" s="60">
        <v>40</v>
      </c>
      <c r="U30" s="50">
        <f t="shared" si="11"/>
        <v>-18</v>
      </c>
      <c r="V30" s="60">
        <v>1143</v>
      </c>
      <c r="W30" s="60">
        <v>38</v>
      </c>
      <c r="X30" s="60">
        <v>22</v>
      </c>
      <c r="Y30" s="50">
        <f t="shared" si="12"/>
        <v>16</v>
      </c>
      <c r="Z30" s="56"/>
      <c r="AA30" s="56"/>
      <c r="AB30" s="56"/>
      <c r="AC30" s="51"/>
      <c r="AD30" s="56"/>
      <c r="AE30" s="56"/>
      <c r="AF30" s="56"/>
      <c r="AG30" s="51"/>
      <c r="AH30" s="56"/>
      <c r="AI30" s="56"/>
      <c r="AJ30" s="56"/>
      <c r="AK30" s="51"/>
      <c r="AL30" s="56"/>
      <c r="AM30" s="56"/>
      <c r="AN30" s="56"/>
      <c r="AO30" s="51"/>
      <c r="AP30" s="51"/>
      <c r="AQ30" s="51"/>
      <c r="AR30" s="51"/>
      <c r="AS30" s="51"/>
      <c r="AT30" s="35"/>
    </row>
    <row r="31" spans="1:46" s="57" customFormat="1" ht="12.75" customHeight="1">
      <c r="A31" s="53" t="s">
        <v>23</v>
      </c>
      <c r="B31" s="60">
        <v>1946</v>
      </c>
      <c r="C31" s="60">
        <v>11</v>
      </c>
      <c r="D31" s="60">
        <v>16</v>
      </c>
      <c r="E31" s="50">
        <f t="shared" si="7"/>
        <v>-5</v>
      </c>
      <c r="F31" s="60">
        <v>5594</v>
      </c>
      <c r="G31" s="60">
        <v>67</v>
      </c>
      <c r="H31" s="60">
        <v>66</v>
      </c>
      <c r="I31" s="50">
        <f t="shared" si="8"/>
        <v>1</v>
      </c>
      <c r="J31" s="60">
        <v>7085</v>
      </c>
      <c r="K31" s="60">
        <v>71</v>
      </c>
      <c r="L31" s="60">
        <v>84</v>
      </c>
      <c r="M31" s="50">
        <f t="shared" si="9"/>
        <v>-13</v>
      </c>
      <c r="N31" s="60">
        <v>2243</v>
      </c>
      <c r="O31" s="60">
        <v>37</v>
      </c>
      <c r="P31" s="60">
        <v>31</v>
      </c>
      <c r="Q31" s="50">
        <f t="shared" si="10"/>
        <v>6</v>
      </c>
      <c r="R31" s="60">
        <v>2880</v>
      </c>
      <c r="S31" s="60">
        <v>36</v>
      </c>
      <c r="T31" s="60">
        <v>54</v>
      </c>
      <c r="U31" s="50">
        <f t="shared" si="11"/>
        <v>-18</v>
      </c>
      <c r="V31" s="60">
        <v>1170</v>
      </c>
      <c r="W31" s="60">
        <v>37</v>
      </c>
      <c r="X31" s="60">
        <v>12</v>
      </c>
      <c r="Y31" s="50">
        <f t="shared" si="12"/>
        <v>25</v>
      </c>
      <c r="Z31" s="56"/>
      <c r="AA31" s="56"/>
      <c r="AB31" s="56"/>
      <c r="AC31" s="51"/>
      <c r="AD31" s="56"/>
      <c r="AE31" s="56"/>
      <c r="AF31" s="56"/>
      <c r="AG31" s="51"/>
      <c r="AH31" s="56"/>
      <c r="AI31" s="56"/>
      <c r="AJ31" s="56"/>
      <c r="AK31" s="51"/>
      <c r="AL31" s="56"/>
      <c r="AM31" s="56"/>
      <c r="AN31" s="56"/>
      <c r="AO31" s="51"/>
      <c r="AP31" s="51"/>
      <c r="AQ31" s="51"/>
      <c r="AR31" s="51"/>
      <c r="AS31" s="51"/>
      <c r="AT31" s="35"/>
    </row>
    <row r="32" spans="1:46" s="57" customFormat="1" ht="12.75" customHeight="1">
      <c r="A32" s="53" t="s">
        <v>24</v>
      </c>
      <c r="B32" s="60">
        <v>1946</v>
      </c>
      <c r="C32" s="60">
        <f>C9-C31-C30-C29</f>
        <v>11</v>
      </c>
      <c r="D32" s="60">
        <f>D9-D31-D30-D29</f>
        <v>14</v>
      </c>
      <c r="E32" s="50">
        <f t="shared" si="7"/>
        <v>-3</v>
      </c>
      <c r="F32" s="60">
        <v>5576</v>
      </c>
      <c r="G32" s="60">
        <f>G9-G31-G30-G29</f>
        <v>55</v>
      </c>
      <c r="H32" s="60">
        <f>H9-H31-H30-H29</f>
        <v>95</v>
      </c>
      <c r="I32" s="50">
        <f t="shared" si="8"/>
        <v>-40</v>
      </c>
      <c r="J32" s="60">
        <v>7055</v>
      </c>
      <c r="K32" s="60">
        <f>K9-K31-K30-K29</f>
        <v>49</v>
      </c>
      <c r="L32" s="60">
        <f>L9-L31-L30-L29</f>
        <v>94</v>
      </c>
      <c r="M32" s="50">
        <f t="shared" si="9"/>
        <v>-45</v>
      </c>
      <c r="N32" s="60">
        <v>2237</v>
      </c>
      <c r="O32" s="60">
        <f>O9-O31-O30-O29</f>
        <v>16</v>
      </c>
      <c r="P32" s="60">
        <f>P9-P31-P30-P29</f>
        <v>37</v>
      </c>
      <c r="Q32" s="50">
        <f t="shared" si="10"/>
        <v>-21</v>
      </c>
      <c r="R32" s="60">
        <v>2892</v>
      </c>
      <c r="S32" s="60">
        <f>S9-S31-S30-S29</f>
        <v>29</v>
      </c>
      <c r="T32" s="60">
        <f>T9-T31-T30-T29</f>
        <v>20</v>
      </c>
      <c r="U32" s="50">
        <f t="shared" si="11"/>
        <v>9</v>
      </c>
      <c r="V32" s="60">
        <v>1173</v>
      </c>
      <c r="W32" s="60">
        <f>W9-W31-W30-W29</f>
        <v>26</v>
      </c>
      <c r="X32" s="60">
        <f>X9-X31-X30-X29</f>
        <v>29</v>
      </c>
      <c r="Y32" s="50">
        <f t="shared" si="12"/>
        <v>-3</v>
      </c>
      <c r="Z32" s="56"/>
      <c r="AA32" s="56"/>
      <c r="AB32" s="56"/>
      <c r="AC32" s="51"/>
      <c r="AD32" s="56"/>
      <c r="AE32" s="56"/>
      <c r="AF32" s="56"/>
      <c r="AG32" s="51"/>
      <c r="AH32" s="56"/>
      <c r="AI32" s="56"/>
      <c r="AJ32" s="56"/>
      <c r="AK32" s="51"/>
      <c r="AL32" s="56"/>
      <c r="AM32" s="56"/>
      <c r="AN32" s="56"/>
      <c r="AO32" s="51"/>
      <c r="AP32" s="51"/>
      <c r="AQ32" s="51"/>
      <c r="AR32" s="51"/>
      <c r="AS32" s="51"/>
      <c r="AT32" s="35"/>
    </row>
    <row r="33" spans="1:46" s="57" customFormat="1" ht="12.75" customHeight="1">
      <c r="A33" s="53" t="s">
        <v>28</v>
      </c>
      <c r="B33" s="60">
        <v>1930</v>
      </c>
      <c r="C33" s="60">
        <v>16</v>
      </c>
      <c r="D33" s="60">
        <v>35</v>
      </c>
      <c r="E33" s="50">
        <f t="shared" si="7"/>
        <v>-19</v>
      </c>
      <c r="F33" s="60">
        <v>5582</v>
      </c>
      <c r="G33" s="60">
        <v>131</v>
      </c>
      <c r="H33" s="60">
        <v>148</v>
      </c>
      <c r="I33" s="50">
        <f t="shared" si="8"/>
        <v>-17</v>
      </c>
      <c r="J33" s="60">
        <v>6957</v>
      </c>
      <c r="K33" s="60">
        <v>57</v>
      </c>
      <c r="L33" s="60">
        <v>158</v>
      </c>
      <c r="M33" s="50">
        <f t="shared" si="9"/>
        <v>-101</v>
      </c>
      <c r="N33" s="60">
        <v>2222</v>
      </c>
      <c r="O33" s="60">
        <v>37</v>
      </c>
      <c r="P33" s="60">
        <v>66</v>
      </c>
      <c r="Q33" s="50">
        <f t="shared" si="10"/>
        <v>-29</v>
      </c>
      <c r="R33" s="60">
        <v>2882</v>
      </c>
      <c r="S33" s="60">
        <v>49</v>
      </c>
      <c r="T33" s="60">
        <v>59</v>
      </c>
      <c r="U33" s="50">
        <f t="shared" si="11"/>
        <v>-10</v>
      </c>
      <c r="V33" s="60">
        <v>1184</v>
      </c>
      <c r="W33" s="60">
        <v>43</v>
      </c>
      <c r="X33" s="60">
        <v>29</v>
      </c>
      <c r="Y33" s="50">
        <f t="shared" si="12"/>
        <v>14</v>
      </c>
      <c r="Z33" s="56"/>
      <c r="AA33" s="56"/>
      <c r="AB33" s="56"/>
      <c r="AC33" s="51"/>
      <c r="AD33" s="56"/>
      <c r="AE33" s="56"/>
      <c r="AF33" s="56"/>
      <c r="AG33" s="51"/>
      <c r="AH33" s="56"/>
      <c r="AI33" s="56"/>
      <c r="AJ33" s="56"/>
      <c r="AK33" s="51"/>
      <c r="AL33" s="56"/>
      <c r="AM33" s="56"/>
      <c r="AN33" s="56"/>
      <c r="AO33" s="51"/>
      <c r="AP33" s="51"/>
      <c r="AQ33" s="51"/>
      <c r="AR33" s="51"/>
      <c r="AS33" s="51"/>
      <c r="AT33" s="35"/>
    </row>
    <row r="34" spans="1:46" s="57" customFormat="1" ht="12.75" customHeight="1">
      <c r="A34" s="53" t="s">
        <v>22</v>
      </c>
      <c r="B34" s="60">
        <v>1924</v>
      </c>
      <c r="C34" s="60">
        <v>9</v>
      </c>
      <c r="D34" s="60">
        <v>16</v>
      </c>
      <c r="E34" s="50">
        <f t="shared" si="7"/>
        <v>-7</v>
      </c>
      <c r="F34" s="60">
        <v>5635</v>
      </c>
      <c r="G34" s="60">
        <v>95</v>
      </c>
      <c r="H34" s="60">
        <v>78</v>
      </c>
      <c r="I34" s="50">
        <f t="shared" si="8"/>
        <v>17</v>
      </c>
      <c r="J34" s="60">
        <v>6939</v>
      </c>
      <c r="K34" s="60">
        <v>54</v>
      </c>
      <c r="L34" s="60">
        <v>77</v>
      </c>
      <c r="M34" s="50">
        <f t="shared" si="9"/>
        <v>-23</v>
      </c>
      <c r="N34" s="60">
        <v>2225</v>
      </c>
      <c r="O34" s="60">
        <v>25</v>
      </c>
      <c r="P34" s="60">
        <v>42</v>
      </c>
      <c r="Q34" s="50">
        <f t="shared" si="10"/>
        <v>-17</v>
      </c>
      <c r="R34" s="60">
        <v>2876</v>
      </c>
      <c r="S34" s="60">
        <v>55</v>
      </c>
      <c r="T34" s="60">
        <v>68</v>
      </c>
      <c r="U34" s="50">
        <f t="shared" si="11"/>
        <v>-13</v>
      </c>
      <c r="V34" s="60">
        <v>1204</v>
      </c>
      <c r="W34" s="60">
        <v>34</v>
      </c>
      <c r="X34" s="60">
        <v>19</v>
      </c>
      <c r="Y34" s="50">
        <f t="shared" si="12"/>
        <v>15</v>
      </c>
      <c r="Z34" s="56"/>
      <c r="AA34" s="56"/>
      <c r="AB34" s="56"/>
      <c r="AC34" s="51"/>
      <c r="AD34" s="56"/>
      <c r="AE34" s="56"/>
      <c r="AF34" s="56"/>
      <c r="AG34" s="51"/>
      <c r="AH34" s="56"/>
      <c r="AI34" s="56"/>
      <c r="AJ34" s="56"/>
      <c r="AK34" s="51"/>
      <c r="AL34" s="56"/>
      <c r="AM34" s="56"/>
      <c r="AN34" s="56"/>
      <c r="AO34" s="51"/>
      <c r="AP34" s="51"/>
      <c r="AQ34" s="51"/>
      <c r="AR34" s="51"/>
      <c r="AS34" s="51"/>
      <c r="AT34" s="35"/>
    </row>
    <row r="35" spans="1:46" s="57" customFormat="1" ht="12.75" customHeight="1">
      <c r="A35" s="53" t="s">
        <v>23</v>
      </c>
      <c r="B35" s="60">
        <v>1911</v>
      </c>
      <c r="C35" s="60">
        <v>14</v>
      </c>
      <c r="D35" s="60">
        <v>23</v>
      </c>
      <c r="E35" s="50">
        <f t="shared" si="7"/>
        <v>-9</v>
      </c>
      <c r="F35" s="60">
        <v>5694</v>
      </c>
      <c r="G35" s="60">
        <v>89</v>
      </c>
      <c r="H35" s="60">
        <v>90</v>
      </c>
      <c r="I35" s="50">
        <f t="shared" si="8"/>
        <v>-1</v>
      </c>
      <c r="J35" s="60">
        <v>6995</v>
      </c>
      <c r="K35" s="60">
        <v>95</v>
      </c>
      <c r="L35" s="60">
        <v>90</v>
      </c>
      <c r="M35" s="50">
        <f t="shared" si="9"/>
        <v>5</v>
      </c>
      <c r="N35" s="60">
        <v>2248</v>
      </c>
      <c r="O35" s="60">
        <v>30</v>
      </c>
      <c r="P35" s="60">
        <v>26</v>
      </c>
      <c r="Q35" s="50">
        <f t="shared" si="10"/>
        <v>4</v>
      </c>
      <c r="R35" s="60">
        <v>2920</v>
      </c>
      <c r="S35" s="60">
        <v>56</v>
      </c>
      <c r="T35" s="60">
        <v>24</v>
      </c>
      <c r="U35" s="50">
        <f t="shared" si="11"/>
        <v>32</v>
      </c>
      <c r="V35" s="60">
        <v>1231</v>
      </c>
      <c r="W35" s="60">
        <v>46</v>
      </c>
      <c r="X35" s="60">
        <v>23</v>
      </c>
      <c r="Y35" s="50">
        <f t="shared" si="12"/>
        <v>23</v>
      </c>
      <c r="Z35" s="56"/>
      <c r="AA35" s="56"/>
      <c r="AB35" s="56"/>
      <c r="AC35" s="51"/>
      <c r="AD35" s="56"/>
      <c r="AE35" s="56"/>
      <c r="AF35" s="56"/>
      <c r="AG35" s="51"/>
      <c r="AH35" s="56"/>
      <c r="AI35" s="56"/>
      <c r="AJ35" s="56"/>
      <c r="AK35" s="51"/>
      <c r="AL35" s="56"/>
      <c r="AM35" s="56"/>
      <c r="AN35" s="56"/>
      <c r="AO35" s="51"/>
      <c r="AP35" s="51"/>
      <c r="AQ35" s="51"/>
      <c r="AR35" s="51"/>
      <c r="AS35" s="51"/>
      <c r="AT35" s="35"/>
    </row>
    <row r="36" spans="1:46" s="57" customFormat="1" ht="12.75" customHeight="1">
      <c r="A36" s="53" t="s">
        <v>24</v>
      </c>
      <c r="B36" s="60">
        <v>1915</v>
      </c>
      <c r="C36" s="60">
        <v>18</v>
      </c>
      <c r="D36" s="60">
        <v>20</v>
      </c>
      <c r="E36" s="50">
        <f t="shared" si="7"/>
        <v>-2</v>
      </c>
      <c r="F36" s="60">
        <v>5717</v>
      </c>
      <c r="G36" s="60">
        <f>403-G35-G34-G33</f>
        <v>88</v>
      </c>
      <c r="H36" s="60">
        <v>104</v>
      </c>
      <c r="I36" s="50">
        <f t="shared" si="8"/>
        <v>-16</v>
      </c>
      <c r="J36" s="60">
        <f>6982</f>
        <v>6982</v>
      </c>
      <c r="K36" s="60">
        <f>313-95-54-57</f>
        <v>107</v>
      </c>
      <c r="L36" s="60">
        <f>459-90-77-158</f>
        <v>134</v>
      </c>
      <c r="M36" s="50">
        <f t="shared" si="9"/>
        <v>-27</v>
      </c>
      <c r="N36" s="60">
        <v>2255</v>
      </c>
      <c r="O36" s="60">
        <f>113-30-25-37</f>
        <v>21</v>
      </c>
      <c r="P36" s="60">
        <f>182-26-42-66</f>
        <v>48</v>
      </c>
      <c r="Q36" s="50">
        <f t="shared" si="10"/>
        <v>-27</v>
      </c>
      <c r="R36" s="60">
        <v>2919</v>
      </c>
      <c r="S36" s="60">
        <f>201-56-55-49</f>
        <v>41</v>
      </c>
      <c r="T36" s="60">
        <f>206-24-68-59</f>
        <v>55</v>
      </c>
      <c r="U36" s="50">
        <f t="shared" si="11"/>
        <v>-14</v>
      </c>
      <c r="V36" s="60">
        <v>1249</v>
      </c>
      <c r="W36" s="60">
        <v>34</v>
      </c>
      <c r="X36" s="60">
        <v>20</v>
      </c>
      <c r="Y36" s="50">
        <f t="shared" si="12"/>
        <v>14</v>
      </c>
      <c r="Z36" s="56"/>
      <c r="AA36" s="56"/>
      <c r="AB36" s="56"/>
      <c r="AC36" s="51"/>
      <c r="AD36" s="56"/>
      <c r="AE36" s="56"/>
      <c r="AF36" s="56"/>
      <c r="AG36" s="51"/>
      <c r="AH36" s="56"/>
      <c r="AI36" s="56"/>
      <c r="AJ36" s="56"/>
      <c r="AK36" s="51"/>
      <c r="AL36" s="56"/>
      <c r="AM36" s="56"/>
      <c r="AN36" s="56"/>
      <c r="AO36" s="51"/>
      <c r="AP36" s="51"/>
      <c r="AQ36" s="51"/>
      <c r="AR36" s="51"/>
      <c r="AS36" s="51"/>
      <c r="AT36" s="35"/>
    </row>
    <row r="37" spans="1:46" s="57" customFormat="1" ht="12.75" customHeight="1">
      <c r="A37" s="53" t="s">
        <v>29</v>
      </c>
      <c r="B37" s="60">
        <v>1902</v>
      </c>
      <c r="C37" s="60">
        <v>27</v>
      </c>
      <c r="D37" s="60">
        <v>41</v>
      </c>
      <c r="E37" s="50">
        <f t="shared" si="7"/>
        <v>-14</v>
      </c>
      <c r="F37" s="60">
        <v>5674</v>
      </c>
      <c r="G37" s="60">
        <v>138</v>
      </c>
      <c r="H37" s="60">
        <v>193</v>
      </c>
      <c r="I37" s="50">
        <f t="shared" si="8"/>
        <v>-55</v>
      </c>
      <c r="J37" s="60">
        <v>6913</v>
      </c>
      <c r="K37" s="60">
        <v>119</v>
      </c>
      <c r="L37" s="60">
        <v>219</v>
      </c>
      <c r="M37" s="50">
        <f t="shared" si="9"/>
        <v>-100</v>
      </c>
      <c r="N37" s="60">
        <v>2242</v>
      </c>
      <c r="O37" s="60">
        <v>27</v>
      </c>
      <c r="P37" s="60">
        <v>73</v>
      </c>
      <c r="Q37" s="50">
        <f t="shared" si="10"/>
        <v>-46</v>
      </c>
      <c r="R37" s="60">
        <v>2817</v>
      </c>
      <c r="S37" s="60">
        <v>32</v>
      </c>
      <c r="T37" s="60">
        <v>150</v>
      </c>
      <c r="U37" s="50">
        <f t="shared" si="11"/>
        <v>-118</v>
      </c>
      <c r="V37" s="60">
        <v>1270</v>
      </c>
      <c r="W37" s="60">
        <v>58</v>
      </c>
      <c r="X37" s="60">
        <v>45</v>
      </c>
      <c r="Y37" s="50">
        <f t="shared" si="12"/>
        <v>13</v>
      </c>
      <c r="Z37" s="56"/>
      <c r="AA37" s="56"/>
      <c r="AB37" s="56"/>
      <c r="AC37" s="51"/>
      <c r="AD37" s="56"/>
      <c r="AE37" s="56"/>
      <c r="AF37" s="56"/>
      <c r="AG37" s="51"/>
      <c r="AH37" s="56"/>
      <c r="AI37" s="56"/>
      <c r="AJ37" s="56"/>
      <c r="AK37" s="51"/>
      <c r="AL37" s="56"/>
      <c r="AM37" s="56"/>
      <c r="AN37" s="56"/>
      <c r="AO37" s="51"/>
      <c r="AP37" s="51"/>
      <c r="AQ37" s="51"/>
      <c r="AR37" s="51"/>
      <c r="AS37" s="51"/>
      <c r="AT37" s="35"/>
    </row>
    <row r="38" spans="1:46" s="57" customFormat="1" ht="12.75" customHeight="1">
      <c r="A38" s="53" t="s">
        <v>22</v>
      </c>
      <c r="B38" s="60">
        <v>1903</v>
      </c>
      <c r="C38" s="60">
        <v>14</v>
      </c>
      <c r="D38" s="60">
        <v>18</v>
      </c>
      <c r="E38" s="50">
        <f t="shared" si="7"/>
        <v>-4</v>
      </c>
      <c r="F38" s="60">
        <v>5747</v>
      </c>
      <c r="G38" s="60">
        <v>108</v>
      </c>
      <c r="H38" s="60">
        <v>56</v>
      </c>
      <c r="I38" s="50">
        <f t="shared" si="8"/>
        <v>52</v>
      </c>
      <c r="J38" s="60">
        <v>6956</v>
      </c>
      <c r="K38" s="60">
        <v>122</v>
      </c>
      <c r="L38" s="60">
        <v>92</v>
      </c>
      <c r="M38" s="50">
        <f t="shared" si="9"/>
        <v>30</v>
      </c>
      <c r="N38" s="60">
        <v>2271</v>
      </c>
      <c r="O38" s="60">
        <v>32</v>
      </c>
      <c r="P38" s="60">
        <v>28</v>
      </c>
      <c r="Q38" s="50">
        <f t="shared" si="10"/>
        <v>4</v>
      </c>
      <c r="R38" s="60">
        <v>2876</v>
      </c>
      <c r="S38" s="60">
        <v>76</v>
      </c>
      <c r="T38" s="60">
        <v>31</v>
      </c>
      <c r="U38" s="50">
        <f t="shared" si="11"/>
        <v>45</v>
      </c>
      <c r="V38" s="60">
        <v>1302</v>
      </c>
      <c r="W38" s="60">
        <v>41</v>
      </c>
      <c r="X38" s="60">
        <v>23</v>
      </c>
      <c r="Y38" s="50">
        <f t="shared" si="12"/>
        <v>18</v>
      </c>
      <c r="Z38" s="56"/>
      <c r="AA38" s="56"/>
      <c r="AB38" s="56"/>
      <c r="AC38" s="51"/>
      <c r="AD38" s="56"/>
      <c r="AE38" s="56"/>
      <c r="AF38" s="56"/>
      <c r="AG38" s="51"/>
      <c r="AH38" s="56"/>
      <c r="AI38" s="56"/>
      <c r="AJ38" s="56"/>
      <c r="AK38" s="51"/>
      <c r="AL38" s="56"/>
      <c r="AM38" s="56"/>
      <c r="AN38" s="56"/>
      <c r="AO38" s="51"/>
      <c r="AP38" s="51"/>
      <c r="AQ38" s="51"/>
      <c r="AR38" s="51"/>
      <c r="AS38" s="51"/>
      <c r="AT38" s="35"/>
    </row>
    <row r="39" spans="1:46" s="57" customFormat="1" ht="12.75" customHeight="1">
      <c r="A39" s="53" t="s">
        <v>23</v>
      </c>
      <c r="B39" s="60">
        <v>1904</v>
      </c>
      <c r="C39" s="60">
        <v>16</v>
      </c>
      <c r="D39" s="60">
        <v>18</v>
      </c>
      <c r="E39" s="50">
        <f t="shared" si="7"/>
        <v>-2</v>
      </c>
      <c r="F39" s="60">
        <v>5774</v>
      </c>
      <c r="G39" s="60">
        <v>72</v>
      </c>
      <c r="H39" s="60">
        <v>80</v>
      </c>
      <c r="I39" s="50">
        <f t="shared" si="8"/>
        <v>-8</v>
      </c>
      <c r="J39" s="60">
        <v>6967</v>
      </c>
      <c r="K39" s="60">
        <v>92</v>
      </c>
      <c r="L39" s="60">
        <v>87</v>
      </c>
      <c r="M39" s="50">
        <f t="shared" si="9"/>
        <v>5</v>
      </c>
      <c r="N39" s="60">
        <v>2287</v>
      </c>
      <c r="O39" s="60">
        <v>28</v>
      </c>
      <c r="P39" s="60">
        <v>24</v>
      </c>
      <c r="Q39" s="50">
        <f t="shared" si="10"/>
        <v>4</v>
      </c>
      <c r="R39" s="60">
        <v>2917</v>
      </c>
      <c r="S39" s="60">
        <v>68</v>
      </c>
      <c r="T39" s="60">
        <v>32</v>
      </c>
      <c r="U39" s="50">
        <f t="shared" si="11"/>
        <v>36</v>
      </c>
      <c r="V39" s="60">
        <v>1337</v>
      </c>
      <c r="W39" s="60">
        <v>54</v>
      </c>
      <c r="X39" s="60">
        <v>19</v>
      </c>
      <c r="Y39" s="50">
        <f t="shared" si="12"/>
        <v>35</v>
      </c>
      <c r="Z39" s="56"/>
      <c r="AA39" s="56"/>
      <c r="AB39" s="56"/>
      <c r="AC39" s="51"/>
      <c r="AD39" s="56"/>
      <c r="AE39" s="56"/>
      <c r="AF39" s="56"/>
      <c r="AG39" s="51"/>
      <c r="AH39" s="56"/>
      <c r="AI39" s="56"/>
      <c r="AJ39" s="56"/>
      <c r="AK39" s="51"/>
      <c r="AL39" s="56"/>
      <c r="AM39" s="56"/>
      <c r="AN39" s="56"/>
      <c r="AO39" s="51"/>
      <c r="AP39" s="51"/>
      <c r="AQ39" s="51"/>
      <c r="AR39" s="51"/>
      <c r="AS39" s="51"/>
      <c r="AT39" s="35"/>
    </row>
    <row r="40" spans="1:46" s="57" customFormat="1" ht="12.75" customHeight="1">
      <c r="A40" s="53" t="s">
        <v>24</v>
      </c>
      <c r="B40" s="60">
        <v>1910</v>
      </c>
      <c r="C40" s="60">
        <v>13</v>
      </c>
      <c r="D40" s="60">
        <v>14</v>
      </c>
      <c r="E40" s="50">
        <f t="shared" si="7"/>
        <v>-1</v>
      </c>
      <c r="F40" s="60">
        <v>5767</v>
      </c>
      <c r="G40" s="60">
        <v>94</v>
      </c>
      <c r="H40" s="60">
        <v>132</v>
      </c>
      <c r="I40" s="50">
        <f t="shared" si="8"/>
        <v>-38</v>
      </c>
      <c r="J40" s="60">
        <v>6926</v>
      </c>
      <c r="K40" s="60">
        <v>85</v>
      </c>
      <c r="L40" s="60">
        <v>110</v>
      </c>
      <c r="M40" s="50">
        <f t="shared" si="9"/>
        <v>-25</v>
      </c>
      <c r="N40" s="60">
        <v>2289</v>
      </c>
      <c r="O40" s="60">
        <v>25</v>
      </c>
      <c r="P40" s="60">
        <v>50</v>
      </c>
      <c r="Q40" s="50">
        <f t="shared" si="10"/>
        <v>-25</v>
      </c>
      <c r="R40" s="60">
        <v>2946</v>
      </c>
      <c r="S40" s="60">
        <v>58</v>
      </c>
      <c r="T40" s="60">
        <v>51</v>
      </c>
      <c r="U40" s="50">
        <f t="shared" si="11"/>
        <v>7</v>
      </c>
      <c r="V40" s="60">
        <v>1372</v>
      </c>
      <c r="W40" s="60">
        <v>43</v>
      </c>
      <c r="X40" s="60">
        <v>33</v>
      </c>
      <c r="Y40" s="50">
        <f t="shared" si="12"/>
        <v>10</v>
      </c>
      <c r="Z40" s="56"/>
      <c r="AA40" s="56"/>
      <c r="AB40" s="56"/>
      <c r="AC40" s="51"/>
      <c r="AD40" s="56"/>
      <c r="AE40" s="56"/>
      <c r="AF40" s="56"/>
      <c r="AG40" s="51"/>
      <c r="AH40" s="56"/>
      <c r="AI40" s="56"/>
      <c r="AJ40" s="56"/>
      <c r="AK40" s="51"/>
      <c r="AL40" s="56"/>
      <c r="AM40" s="56"/>
      <c r="AN40" s="56"/>
      <c r="AO40" s="51"/>
      <c r="AP40" s="51"/>
      <c r="AQ40" s="51"/>
      <c r="AR40" s="51"/>
      <c r="AS40" s="51"/>
      <c r="AT40" s="35"/>
    </row>
    <row r="41" spans="1:46" s="57" customFormat="1" ht="12.75" customHeight="1">
      <c r="A41" s="53" t="s">
        <v>30</v>
      </c>
      <c r="B41" s="60">
        <v>1902</v>
      </c>
      <c r="C41" s="60">
        <v>29</v>
      </c>
      <c r="D41" s="60">
        <v>33</v>
      </c>
      <c r="E41" s="50">
        <f t="shared" si="7"/>
        <v>-4</v>
      </c>
      <c r="F41" s="60">
        <v>5739</v>
      </c>
      <c r="G41" s="60">
        <v>138</v>
      </c>
      <c r="H41" s="60">
        <v>198</v>
      </c>
      <c r="I41" s="50">
        <f t="shared" si="8"/>
        <v>-60</v>
      </c>
      <c r="J41" s="60">
        <v>6878</v>
      </c>
      <c r="K41" s="60">
        <v>121</v>
      </c>
      <c r="L41" s="60">
        <v>186</v>
      </c>
      <c r="M41" s="50">
        <f t="shared" si="9"/>
        <v>-65</v>
      </c>
      <c r="N41" s="60">
        <v>2298</v>
      </c>
      <c r="O41" s="60">
        <v>44</v>
      </c>
      <c r="P41" s="60">
        <v>52</v>
      </c>
      <c r="Q41" s="50">
        <f t="shared" si="10"/>
        <v>-8</v>
      </c>
      <c r="R41" s="60">
        <v>2957</v>
      </c>
      <c r="S41" s="60">
        <v>76</v>
      </c>
      <c r="T41" s="60">
        <v>73</v>
      </c>
      <c r="U41" s="50">
        <f t="shared" si="11"/>
        <v>3</v>
      </c>
      <c r="V41" s="60">
        <v>1386</v>
      </c>
      <c r="W41" s="60">
        <v>51</v>
      </c>
      <c r="X41" s="60">
        <v>37</v>
      </c>
      <c r="Y41" s="50">
        <f t="shared" si="12"/>
        <v>14</v>
      </c>
      <c r="Z41" s="56"/>
      <c r="AA41" s="56"/>
      <c r="AB41" s="56"/>
      <c r="AC41" s="51"/>
      <c r="AD41" s="56"/>
      <c r="AE41" s="56"/>
      <c r="AF41" s="56"/>
      <c r="AG41" s="51"/>
      <c r="AH41" s="56"/>
      <c r="AI41" s="56"/>
      <c r="AJ41" s="56"/>
      <c r="AK41" s="51"/>
      <c r="AL41" s="56"/>
      <c r="AM41" s="56"/>
      <c r="AN41" s="56"/>
      <c r="AO41" s="51"/>
      <c r="AP41" s="51"/>
      <c r="AQ41" s="51"/>
      <c r="AR41" s="51"/>
      <c r="AS41" s="51"/>
      <c r="AT41" s="35"/>
    </row>
    <row r="42" spans="1:46" s="57" customFormat="1" ht="12.75" customHeight="1">
      <c r="A42" s="53" t="s">
        <v>22</v>
      </c>
      <c r="B42" s="60">
        <v>1913</v>
      </c>
      <c r="C42" s="60">
        <v>20</v>
      </c>
      <c r="D42" s="60">
        <v>17</v>
      </c>
      <c r="E42" s="50">
        <f t="shared" si="7"/>
        <v>3</v>
      </c>
      <c r="F42" s="60">
        <v>5781</v>
      </c>
      <c r="G42" s="60">
        <v>104</v>
      </c>
      <c r="H42" s="60">
        <v>73</v>
      </c>
      <c r="I42" s="50">
        <f t="shared" si="8"/>
        <v>31</v>
      </c>
      <c r="J42" s="60">
        <v>6890</v>
      </c>
      <c r="K42" s="60">
        <v>84</v>
      </c>
      <c r="L42" s="60">
        <v>85</v>
      </c>
      <c r="M42" s="50">
        <f t="shared" si="9"/>
        <v>-1</v>
      </c>
      <c r="N42" s="60">
        <v>2320</v>
      </c>
      <c r="O42" s="60">
        <v>35</v>
      </c>
      <c r="P42" s="60">
        <v>34</v>
      </c>
      <c r="Q42" s="50">
        <f t="shared" si="10"/>
        <v>1</v>
      </c>
      <c r="R42" s="60">
        <v>2997</v>
      </c>
      <c r="S42" s="60">
        <v>57</v>
      </c>
      <c r="T42" s="60">
        <v>37</v>
      </c>
      <c r="U42" s="50">
        <f t="shared" si="11"/>
        <v>20</v>
      </c>
      <c r="V42" s="60">
        <v>1421</v>
      </c>
      <c r="W42" s="60">
        <v>47</v>
      </c>
      <c r="X42" s="60">
        <v>24</v>
      </c>
      <c r="Y42" s="50">
        <f t="shared" si="12"/>
        <v>23</v>
      </c>
      <c r="Z42" s="56"/>
      <c r="AA42" s="56"/>
      <c r="AB42" s="56"/>
      <c r="AC42" s="51"/>
      <c r="AD42" s="56"/>
      <c r="AE42" s="56"/>
      <c r="AF42" s="56"/>
      <c r="AG42" s="51"/>
      <c r="AH42" s="56"/>
      <c r="AI42" s="56"/>
      <c r="AJ42" s="56"/>
      <c r="AK42" s="51"/>
      <c r="AL42" s="56"/>
      <c r="AM42" s="56"/>
      <c r="AN42" s="56"/>
      <c r="AO42" s="51"/>
      <c r="AP42" s="51"/>
      <c r="AQ42" s="51"/>
      <c r="AR42" s="51"/>
      <c r="AS42" s="51"/>
      <c r="AT42" s="35"/>
    </row>
    <row r="43" spans="1:46" s="57" customFormat="1" ht="12.75" customHeight="1">
      <c r="A43" s="53" t="s">
        <v>23</v>
      </c>
      <c r="B43" s="60">
        <v>1908</v>
      </c>
      <c r="C43" s="60">
        <v>11</v>
      </c>
      <c r="D43" s="60">
        <v>17</v>
      </c>
      <c r="E43" s="50">
        <f t="shared" si="7"/>
        <v>-6</v>
      </c>
      <c r="F43" s="60">
        <v>5793</v>
      </c>
      <c r="G43" s="60">
        <v>69</v>
      </c>
      <c r="H43" s="60">
        <v>72</v>
      </c>
      <c r="I43" s="50">
        <f t="shared" si="8"/>
        <v>-3</v>
      </c>
      <c r="J43" s="60">
        <v>6895</v>
      </c>
      <c r="K43" s="60">
        <v>87</v>
      </c>
      <c r="L43" s="60">
        <v>79</v>
      </c>
      <c r="M43" s="50">
        <f t="shared" si="9"/>
        <v>8</v>
      </c>
      <c r="N43" s="60">
        <v>2340</v>
      </c>
      <c r="O43" s="60">
        <v>40</v>
      </c>
      <c r="P43" s="60">
        <v>28</v>
      </c>
      <c r="Q43" s="50">
        <f t="shared" si="10"/>
        <v>12</v>
      </c>
      <c r="R43" s="60">
        <v>2995</v>
      </c>
      <c r="S43" s="60">
        <v>39</v>
      </c>
      <c r="T43" s="60">
        <v>52</v>
      </c>
      <c r="U43" s="50">
        <f t="shared" si="11"/>
        <v>-13</v>
      </c>
      <c r="V43" s="60">
        <v>1446</v>
      </c>
      <c r="W43" s="60">
        <v>43</v>
      </c>
      <c r="X43" s="60">
        <v>26</v>
      </c>
      <c r="Y43" s="50">
        <f t="shared" si="12"/>
        <v>17</v>
      </c>
      <c r="Z43" s="56"/>
      <c r="AA43" s="56"/>
      <c r="AB43" s="56"/>
      <c r="AC43" s="51"/>
      <c r="AD43" s="56"/>
      <c r="AE43" s="56"/>
      <c r="AF43" s="56"/>
      <c r="AG43" s="51"/>
      <c r="AH43" s="56"/>
      <c r="AI43" s="56"/>
      <c r="AJ43" s="56"/>
      <c r="AK43" s="51"/>
      <c r="AL43" s="56"/>
      <c r="AM43" s="56"/>
      <c r="AN43" s="56"/>
      <c r="AO43" s="51"/>
      <c r="AP43" s="51"/>
      <c r="AQ43" s="51"/>
      <c r="AR43" s="51"/>
      <c r="AS43" s="51"/>
      <c r="AT43" s="35"/>
    </row>
    <row r="44" spans="1:46" s="57" customFormat="1" ht="12.75" customHeight="1">
      <c r="A44" s="53" t="s">
        <v>24</v>
      </c>
      <c r="B44" s="60">
        <v>1907</v>
      </c>
      <c r="C44" s="60">
        <v>12</v>
      </c>
      <c r="D44" s="60">
        <v>17</v>
      </c>
      <c r="E44" s="50">
        <f t="shared" si="7"/>
        <v>-5</v>
      </c>
      <c r="F44" s="60">
        <v>5809</v>
      </c>
      <c r="G44" s="60">
        <v>84</v>
      </c>
      <c r="H44" s="60">
        <v>83</v>
      </c>
      <c r="I44" s="50">
        <f t="shared" si="8"/>
        <v>1</v>
      </c>
      <c r="J44" s="60">
        <v>6913</v>
      </c>
      <c r="K44" s="60">
        <v>82</v>
      </c>
      <c r="L44" s="60">
        <v>77</v>
      </c>
      <c r="M44" s="50">
        <f t="shared" si="9"/>
        <v>5</v>
      </c>
      <c r="N44" s="60">
        <v>2321</v>
      </c>
      <c r="O44" s="60">
        <v>27</v>
      </c>
      <c r="P44" s="60">
        <v>43</v>
      </c>
      <c r="Q44" s="50">
        <f t="shared" si="10"/>
        <v>-16</v>
      </c>
      <c r="R44" s="60">
        <v>2998</v>
      </c>
      <c r="S44" s="60">
        <v>34</v>
      </c>
      <c r="T44" s="60">
        <v>45</v>
      </c>
      <c r="U44" s="50">
        <f t="shared" si="11"/>
        <v>-11</v>
      </c>
      <c r="V44" s="60">
        <v>1459</v>
      </c>
      <c r="W44" s="60">
        <v>26</v>
      </c>
      <c r="X44" s="60">
        <v>28</v>
      </c>
      <c r="Y44" s="50">
        <f t="shared" si="12"/>
        <v>-2</v>
      </c>
      <c r="Z44" s="56"/>
      <c r="AA44" s="56"/>
      <c r="AB44" s="56"/>
      <c r="AC44" s="51"/>
      <c r="AD44" s="56"/>
      <c r="AE44" s="56"/>
      <c r="AF44" s="56"/>
      <c r="AG44" s="51"/>
      <c r="AH44" s="56"/>
      <c r="AI44" s="56"/>
      <c r="AJ44" s="56"/>
      <c r="AK44" s="51"/>
      <c r="AL44" s="56"/>
      <c r="AM44" s="56"/>
      <c r="AN44" s="56"/>
      <c r="AO44" s="51"/>
      <c r="AP44" s="51"/>
      <c r="AQ44" s="51"/>
      <c r="AR44" s="51"/>
      <c r="AS44" s="51"/>
      <c r="AT44" s="35"/>
    </row>
    <row r="45" spans="1:46" s="57" customFormat="1" ht="12.75" customHeight="1">
      <c r="A45" s="53" t="s">
        <v>31</v>
      </c>
      <c r="B45" s="60">
        <v>1885</v>
      </c>
      <c r="C45" s="60">
        <v>16</v>
      </c>
      <c r="D45" s="60">
        <v>40</v>
      </c>
      <c r="E45" s="50">
        <f t="shared" si="7"/>
        <v>-24</v>
      </c>
      <c r="F45" s="60">
        <v>5781</v>
      </c>
      <c r="G45" s="60">
        <v>100</v>
      </c>
      <c r="H45" s="60">
        <v>166</v>
      </c>
      <c r="I45" s="50">
        <f t="shared" si="8"/>
        <v>-66</v>
      </c>
      <c r="J45" s="60">
        <v>6833</v>
      </c>
      <c r="K45" s="60">
        <v>114</v>
      </c>
      <c r="L45" s="60">
        <v>203</v>
      </c>
      <c r="M45" s="50">
        <f t="shared" si="9"/>
        <v>-89</v>
      </c>
      <c r="N45" s="60">
        <v>2307</v>
      </c>
      <c r="O45" s="60">
        <v>37</v>
      </c>
      <c r="P45" s="60">
        <v>65</v>
      </c>
      <c r="Q45" s="50">
        <f t="shared" si="10"/>
        <v>-28</v>
      </c>
      <c r="R45" s="60">
        <v>3004</v>
      </c>
      <c r="S45" s="60">
        <v>51</v>
      </c>
      <c r="T45" s="60">
        <v>62</v>
      </c>
      <c r="U45" s="50">
        <f t="shared" si="11"/>
        <v>-11</v>
      </c>
      <c r="V45" s="60">
        <v>1446</v>
      </c>
      <c r="W45" s="60">
        <v>40</v>
      </c>
      <c r="X45" s="60">
        <v>56</v>
      </c>
      <c r="Y45" s="50">
        <f t="shared" si="12"/>
        <v>-16</v>
      </c>
      <c r="Z45" s="56"/>
      <c r="AA45" s="56"/>
      <c r="AB45" s="56"/>
      <c r="AC45" s="51"/>
      <c r="AD45" s="56"/>
      <c r="AE45" s="56"/>
      <c r="AF45" s="56"/>
      <c r="AG45" s="51"/>
      <c r="AH45" s="56"/>
      <c r="AI45" s="56"/>
      <c r="AJ45" s="56"/>
      <c r="AK45" s="51"/>
      <c r="AL45" s="56"/>
      <c r="AM45" s="56"/>
      <c r="AN45" s="56"/>
      <c r="AO45" s="51"/>
      <c r="AP45" s="51"/>
      <c r="AQ45" s="51"/>
      <c r="AR45" s="51"/>
      <c r="AS45" s="51"/>
      <c r="AT45" s="35"/>
    </row>
    <row r="46" spans="1:46" s="57" customFormat="1" ht="12.75" customHeight="1">
      <c r="A46" s="53" t="s">
        <v>22</v>
      </c>
      <c r="B46" s="60">
        <v>1886</v>
      </c>
      <c r="C46" s="60">
        <v>22</v>
      </c>
      <c r="D46" s="60">
        <v>21</v>
      </c>
      <c r="E46" s="50">
        <f t="shared" si="7"/>
        <v>1</v>
      </c>
      <c r="F46" s="60">
        <v>5802</v>
      </c>
      <c r="G46" s="60">
        <v>96</v>
      </c>
      <c r="H46" s="60">
        <v>81</v>
      </c>
      <c r="I46" s="50">
        <f t="shared" si="8"/>
        <v>15</v>
      </c>
      <c r="J46" s="60">
        <v>6842</v>
      </c>
      <c r="K46" s="60">
        <v>89</v>
      </c>
      <c r="L46" s="60">
        <v>111</v>
      </c>
      <c r="M46" s="50">
        <f t="shared" si="9"/>
        <v>-22</v>
      </c>
      <c r="N46" s="60">
        <v>2312</v>
      </c>
      <c r="O46" s="60">
        <v>34</v>
      </c>
      <c r="P46" s="60">
        <v>33</v>
      </c>
      <c r="Q46" s="50">
        <f t="shared" si="10"/>
        <v>1</v>
      </c>
      <c r="R46" s="60">
        <v>3052</v>
      </c>
      <c r="S46" s="60">
        <v>64</v>
      </c>
      <c r="T46" s="60">
        <v>39</v>
      </c>
      <c r="U46" s="50">
        <f t="shared" si="11"/>
        <v>25</v>
      </c>
      <c r="V46" s="60">
        <v>1432</v>
      </c>
      <c r="W46" s="60">
        <v>18</v>
      </c>
      <c r="X46" s="60">
        <v>37</v>
      </c>
      <c r="Y46" s="50">
        <f t="shared" si="12"/>
        <v>-19</v>
      </c>
      <c r="Z46" s="56"/>
      <c r="AA46" s="56"/>
      <c r="AB46" s="56"/>
      <c r="AC46" s="51"/>
      <c r="AD46" s="56"/>
      <c r="AE46" s="56"/>
      <c r="AF46" s="56"/>
      <c r="AG46" s="51"/>
      <c r="AH46" s="56"/>
      <c r="AI46" s="56"/>
      <c r="AJ46" s="56"/>
      <c r="AK46" s="51"/>
      <c r="AL46" s="56"/>
      <c r="AM46" s="56"/>
      <c r="AN46" s="56"/>
      <c r="AO46" s="51"/>
      <c r="AP46" s="51"/>
      <c r="AQ46" s="51"/>
      <c r="AR46" s="51"/>
      <c r="AS46" s="51"/>
      <c r="AT46" s="35"/>
    </row>
    <row r="47" spans="1:46" s="57" customFormat="1" ht="12.75" customHeight="1">
      <c r="A47" s="53" t="s">
        <v>23</v>
      </c>
      <c r="B47" s="60">
        <v>1887</v>
      </c>
      <c r="C47" s="60">
        <v>13</v>
      </c>
      <c r="D47" s="60">
        <v>16</v>
      </c>
      <c r="E47" s="50">
        <f t="shared" si="7"/>
        <v>-3</v>
      </c>
      <c r="F47" s="60">
        <v>5816</v>
      </c>
      <c r="G47" s="60">
        <v>83</v>
      </c>
      <c r="H47" s="60">
        <v>91</v>
      </c>
      <c r="I47" s="50">
        <f t="shared" si="8"/>
        <v>-8</v>
      </c>
      <c r="J47" s="60">
        <v>6847</v>
      </c>
      <c r="K47" s="60">
        <v>78</v>
      </c>
      <c r="L47" s="60">
        <v>99</v>
      </c>
      <c r="M47" s="50">
        <f t="shared" si="9"/>
        <v>-21</v>
      </c>
      <c r="N47" s="60">
        <v>2346</v>
      </c>
      <c r="O47" s="60">
        <v>25</v>
      </c>
      <c r="P47" s="60">
        <v>25</v>
      </c>
      <c r="Q47" s="50">
        <f t="shared" si="10"/>
        <v>0</v>
      </c>
      <c r="R47" s="60">
        <v>3049</v>
      </c>
      <c r="S47" s="60">
        <v>38</v>
      </c>
      <c r="T47" s="60">
        <v>50</v>
      </c>
      <c r="U47" s="50">
        <f t="shared" si="11"/>
        <v>-12</v>
      </c>
      <c r="V47" s="60">
        <v>1453</v>
      </c>
      <c r="W47" s="60">
        <v>31</v>
      </c>
      <c r="X47" s="60">
        <v>25</v>
      </c>
      <c r="Y47" s="50">
        <f t="shared" si="12"/>
        <v>6</v>
      </c>
      <c r="Z47" s="56"/>
      <c r="AA47" s="56"/>
      <c r="AB47" s="56"/>
      <c r="AC47" s="51"/>
      <c r="AD47" s="56"/>
      <c r="AE47" s="56"/>
      <c r="AF47" s="56"/>
      <c r="AG47" s="51"/>
      <c r="AH47" s="56"/>
      <c r="AI47" s="56"/>
      <c r="AJ47" s="56"/>
      <c r="AK47" s="51"/>
      <c r="AL47" s="56"/>
      <c r="AM47" s="56"/>
      <c r="AN47" s="56"/>
      <c r="AO47" s="51"/>
      <c r="AP47" s="51"/>
      <c r="AQ47" s="51"/>
      <c r="AR47" s="51"/>
      <c r="AS47" s="51"/>
      <c r="AT47" s="35"/>
    </row>
    <row r="48" spans="1:46" s="57" customFormat="1" ht="12.75" customHeight="1">
      <c r="A48" s="53" t="s">
        <v>24</v>
      </c>
      <c r="B48" s="60">
        <v>1892</v>
      </c>
      <c r="C48" s="60">
        <v>20</v>
      </c>
      <c r="D48" s="60">
        <v>18</v>
      </c>
      <c r="E48" s="50">
        <f t="shared" si="7"/>
        <v>2</v>
      </c>
      <c r="F48" s="60">
        <v>5851</v>
      </c>
      <c r="G48" s="60">
        <v>84</v>
      </c>
      <c r="H48" s="60">
        <v>105</v>
      </c>
      <c r="I48" s="50">
        <f t="shared" si="8"/>
        <v>-21</v>
      </c>
      <c r="J48" s="60">
        <v>6909</v>
      </c>
      <c r="K48" s="60">
        <v>108</v>
      </c>
      <c r="L48" s="60">
        <v>113</v>
      </c>
      <c r="M48" s="50">
        <f t="shared" si="9"/>
        <v>-5</v>
      </c>
      <c r="N48" s="60">
        <v>2364</v>
      </c>
      <c r="O48" s="60">
        <v>23</v>
      </c>
      <c r="P48" s="60">
        <v>48</v>
      </c>
      <c r="Q48" s="50">
        <f t="shared" si="10"/>
        <v>-25</v>
      </c>
      <c r="R48" s="60">
        <v>3074</v>
      </c>
      <c r="S48" s="60">
        <v>46</v>
      </c>
      <c r="T48" s="60">
        <v>41</v>
      </c>
      <c r="U48" s="50">
        <f t="shared" si="11"/>
        <v>5</v>
      </c>
      <c r="V48" s="60">
        <v>1438</v>
      </c>
      <c r="W48" s="60">
        <v>23</v>
      </c>
      <c r="X48" s="60">
        <v>49</v>
      </c>
      <c r="Y48" s="50">
        <f t="shared" si="12"/>
        <v>-26</v>
      </c>
      <c r="Z48" s="56"/>
      <c r="AA48" s="56"/>
      <c r="AB48" s="56"/>
      <c r="AC48" s="51"/>
      <c r="AD48" s="56"/>
      <c r="AE48" s="56"/>
      <c r="AF48" s="56"/>
      <c r="AG48" s="51"/>
      <c r="AH48" s="56"/>
      <c r="AI48" s="56"/>
      <c r="AJ48" s="56"/>
      <c r="AK48" s="51"/>
      <c r="AL48" s="56"/>
      <c r="AM48" s="56"/>
      <c r="AN48" s="56"/>
      <c r="AO48" s="51"/>
      <c r="AP48" s="51"/>
      <c r="AQ48" s="51"/>
      <c r="AR48" s="51"/>
      <c r="AS48" s="51"/>
      <c r="AT48" s="35"/>
    </row>
    <row r="49" spans="1:46" s="57" customFormat="1" ht="12.75" customHeight="1">
      <c r="A49" s="53" t="s">
        <v>32</v>
      </c>
      <c r="B49" s="60">
        <v>1866</v>
      </c>
      <c r="C49" s="60">
        <v>29</v>
      </c>
      <c r="D49" s="60">
        <v>60</v>
      </c>
      <c r="E49" s="50">
        <f t="shared" si="7"/>
        <v>-31</v>
      </c>
      <c r="F49" s="60">
        <v>5790</v>
      </c>
      <c r="G49" s="60">
        <v>119</v>
      </c>
      <c r="H49" s="60">
        <v>191</v>
      </c>
      <c r="I49" s="50">
        <f t="shared" si="8"/>
        <v>-72</v>
      </c>
      <c r="J49" s="60">
        <v>6858</v>
      </c>
      <c r="K49" s="60">
        <v>139</v>
      </c>
      <c r="L49" s="60">
        <v>210</v>
      </c>
      <c r="M49" s="50">
        <f t="shared" si="9"/>
        <v>-71</v>
      </c>
      <c r="N49" s="60">
        <v>2365</v>
      </c>
      <c r="O49" s="60">
        <v>37</v>
      </c>
      <c r="P49" s="60">
        <v>71</v>
      </c>
      <c r="Q49" s="50">
        <f t="shared" si="10"/>
        <v>-34</v>
      </c>
      <c r="R49" s="60">
        <v>3078</v>
      </c>
      <c r="S49" s="60">
        <v>46</v>
      </c>
      <c r="T49" s="60">
        <v>63</v>
      </c>
      <c r="U49" s="50">
        <f t="shared" si="11"/>
        <v>-17</v>
      </c>
      <c r="V49" s="60">
        <v>1403</v>
      </c>
      <c r="W49" s="60">
        <v>34</v>
      </c>
      <c r="X49" s="60">
        <v>72</v>
      </c>
      <c r="Y49" s="50">
        <f t="shared" si="12"/>
        <v>-38</v>
      </c>
      <c r="Z49" s="56"/>
      <c r="AA49" s="56"/>
      <c r="AB49" s="56"/>
      <c r="AC49" s="51"/>
      <c r="AD49" s="56"/>
      <c r="AE49" s="56"/>
      <c r="AF49" s="56"/>
      <c r="AG49" s="51"/>
      <c r="AH49" s="56"/>
      <c r="AI49" s="56"/>
      <c r="AJ49" s="56"/>
      <c r="AK49" s="51"/>
      <c r="AL49" s="56"/>
      <c r="AM49" s="56"/>
      <c r="AN49" s="56"/>
      <c r="AO49" s="51"/>
      <c r="AP49" s="51"/>
      <c r="AQ49" s="51"/>
      <c r="AR49" s="51"/>
      <c r="AS49" s="51"/>
      <c r="AT49" s="35"/>
    </row>
    <row r="50" spans="1:46" s="57" customFormat="1" ht="12.75" customHeight="1">
      <c r="A50" s="53" t="s">
        <v>22</v>
      </c>
      <c r="B50" s="60">
        <v>1869</v>
      </c>
      <c r="C50" s="60">
        <v>10</v>
      </c>
      <c r="D50" s="60">
        <v>17</v>
      </c>
      <c r="E50" s="50">
        <f t="shared" si="7"/>
        <v>-7</v>
      </c>
      <c r="F50" s="60">
        <v>5872</v>
      </c>
      <c r="G50" s="60">
        <v>97</v>
      </c>
      <c r="H50" s="60">
        <v>67</v>
      </c>
      <c r="I50" s="50">
        <f t="shared" si="8"/>
        <v>30</v>
      </c>
      <c r="J50" s="60">
        <v>6940</v>
      </c>
      <c r="K50" s="60">
        <v>113</v>
      </c>
      <c r="L50" s="60">
        <v>72</v>
      </c>
      <c r="M50" s="50">
        <f t="shared" si="9"/>
        <v>41</v>
      </c>
      <c r="N50" s="60">
        <v>2406</v>
      </c>
      <c r="O50" s="60">
        <v>29</v>
      </c>
      <c r="P50" s="60">
        <v>24</v>
      </c>
      <c r="Q50" s="50">
        <f t="shared" si="10"/>
        <v>5</v>
      </c>
      <c r="R50" s="60">
        <v>3106</v>
      </c>
      <c r="S50" s="60">
        <v>60</v>
      </c>
      <c r="T50" s="60">
        <v>46</v>
      </c>
      <c r="U50" s="50">
        <f t="shared" si="11"/>
        <v>14</v>
      </c>
      <c r="V50" s="60">
        <v>1397</v>
      </c>
      <c r="W50" s="60">
        <v>16</v>
      </c>
      <c r="X50" s="60">
        <v>22</v>
      </c>
      <c r="Y50" s="50">
        <f t="shared" si="12"/>
        <v>-6</v>
      </c>
      <c r="Z50" s="56"/>
      <c r="AA50" s="56"/>
      <c r="AB50" s="56"/>
      <c r="AC50" s="51"/>
      <c r="AD50" s="56"/>
      <c r="AE50" s="56"/>
      <c r="AF50" s="56"/>
      <c r="AG50" s="51"/>
      <c r="AH50" s="56"/>
      <c r="AI50" s="56"/>
      <c r="AJ50" s="56"/>
      <c r="AK50" s="51"/>
      <c r="AL50" s="56"/>
      <c r="AM50" s="56"/>
      <c r="AN50" s="56"/>
      <c r="AO50" s="51"/>
      <c r="AP50" s="51"/>
      <c r="AQ50" s="51"/>
      <c r="AR50" s="51"/>
      <c r="AS50" s="51"/>
      <c r="AT50" s="35"/>
    </row>
    <row r="51" spans="1:46" s="57" customFormat="1" ht="12.75" customHeight="1">
      <c r="A51" s="53" t="s">
        <v>23</v>
      </c>
      <c r="B51" s="60">
        <v>1866</v>
      </c>
      <c r="C51" s="60">
        <v>12</v>
      </c>
      <c r="D51" s="60">
        <v>14</v>
      </c>
      <c r="E51" s="50">
        <f t="shared" si="7"/>
        <v>-2</v>
      </c>
      <c r="F51" s="60">
        <v>5851</v>
      </c>
      <c r="G51" s="60">
        <v>59</v>
      </c>
      <c r="H51" s="60">
        <v>78</v>
      </c>
      <c r="I51" s="50">
        <f t="shared" si="8"/>
        <v>-19</v>
      </c>
      <c r="J51" s="60">
        <v>6946</v>
      </c>
      <c r="K51" s="60">
        <v>68</v>
      </c>
      <c r="L51" s="60">
        <v>73</v>
      </c>
      <c r="M51" s="50">
        <f t="shared" si="9"/>
        <v>-5</v>
      </c>
      <c r="N51" s="60">
        <v>2411</v>
      </c>
      <c r="O51" s="60">
        <v>17</v>
      </c>
      <c r="P51" s="60">
        <v>29</v>
      </c>
      <c r="Q51" s="50">
        <f t="shared" si="10"/>
        <v>-12</v>
      </c>
      <c r="R51" s="60">
        <v>3103</v>
      </c>
      <c r="S51" s="60">
        <v>33</v>
      </c>
      <c r="T51" s="60">
        <v>43</v>
      </c>
      <c r="U51" s="50">
        <f t="shared" si="11"/>
        <v>-10</v>
      </c>
      <c r="V51" s="60">
        <v>1404</v>
      </c>
      <c r="W51" s="60">
        <v>20</v>
      </c>
      <c r="X51" s="60">
        <v>16</v>
      </c>
      <c r="Y51" s="50">
        <f t="shared" si="12"/>
        <v>4</v>
      </c>
      <c r="Z51" s="56"/>
      <c r="AA51" s="56"/>
      <c r="AB51" s="56"/>
      <c r="AC51" s="51"/>
      <c r="AD51" s="56"/>
      <c r="AE51" s="56"/>
      <c r="AF51" s="56"/>
      <c r="AG51" s="51"/>
      <c r="AH51" s="56"/>
      <c r="AI51" s="56"/>
      <c r="AJ51" s="56"/>
      <c r="AK51" s="51"/>
      <c r="AL51" s="56"/>
      <c r="AM51" s="56"/>
      <c r="AN51" s="56"/>
      <c r="AO51" s="51"/>
      <c r="AP51" s="51"/>
      <c r="AQ51" s="51"/>
      <c r="AR51" s="51"/>
      <c r="AS51" s="51"/>
      <c r="AT51" s="35"/>
    </row>
    <row r="52" spans="1:46" s="57" customFormat="1" ht="12.75" customHeight="1">
      <c r="A52" s="53" t="s">
        <v>24</v>
      </c>
      <c r="B52" s="60">
        <v>1865</v>
      </c>
      <c r="C52" s="60">
        <v>19</v>
      </c>
      <c r="D52" s="60">
        <v>18</v>
      </c>
      <c r="E52" s="50">
        <f t="shared" si="7"/>
        <v>1</v>
      </c>
      <c r="F52" s="60">
        <v>5835</v>
      </c>
      <c r="G52" s="60">
        <v>85</v>
      </c>
      <c r="H52" s="60">
        <v>103</v>
      </c>
      <c r="I52" s="50">
        <f t="shared" si="8"/>
        <v>-18</v>
      </c>
      <c r="J52" s="60">
        <v>6991</v>
      </c>
      <c r="K52" s="60">
        <v>123</v>
      </c>
      <c r="L52" s="60">
        <v>97</v>
      </c>
      <c r="M52" s="50">
        <f t="shared" si="9"/>
        <v>26</v>
      </c>
      <c r="N52" s="60">
        <v>2402</v>
      </c>
      <c r="O52" s="60">
        <v>24</v>
      </c>
      <c r="P52" s="60">
        <v>43</v>
      </c>
      <c r="Q52" s="50">
        <f t="shared" si="10"/>
        <v>-19</v>
      </c>
      <c r="R52" s="60">
        <v>3117</v>
      </c>
      <c r="S52" s="60">
        <v>44</v>
      </c>
      <c r="T52" s="60">
        <v>40</v>
      </c>
      <c r="U52" s="50">
        <f t="shared" si="11"/>
        <v>4</v>
      </c>
      <c r="V52" s="60">
        <v>1402</v>
      </c>
      <c r="W52" s="60">
        <v>26</v>
      </c>
      <c r="X52" s="60">
        <v>30</v>
      </c>
      <c r="Y52" s="50">
        <f t="shared" si="12"/>
        <v>-4</v>
      </c>
      <c r="Z52" s="56"/>
      <c r="AA52" s="56"/>
      <c r="AB52" s="56"/>
      <c r="AC52" s="51"/>
      <c r="AD52" s="56"/>
      <c r="AE52" s="56"/>
      <c r="AF52" s="56"/>
      <c r="AG52" s="51"/>
      <c r="AH52" s="56"/>
      <c r="AI52" s="56"/>
      <c r="AJ52" s="56"/>
      <c r="AK52" s="51"/>
      <c r="AL52" s="56"/>
      <c r="AM52" s="56"/>
      <c r="AN52" s="56"/>
      <c r="AO52" s="51"/>
      <c r="AP52" s="51"/>
      <c r="AQ52" s="51"/>
      <c r="AR52" s="51"/>
      <c r="AS52" s="51"/>
      <c r="AT52" s="35"/>
    </row>
    <row r="53" spans="1:46" s="57" customFormat="1" ht="12.75" customHeight="1">
      <c r="A53" s="53" t="s">
        <v>61</v>
      </c>
      <c r="B53" s="60">
        <v>1846</v>
      </c>
      <c r="C53" s="60">
        <v>28</v>
      </c>
      <c r="D53" s="60">
        <v>47</v>
      </c>
      <c r="E53" s="50">
        <f t="shared" si="7"/>
        <v>-19</v>
      </c>
      <c r="F53" s="60">
        <v>5801</v>
      </c>
      <c r="G53" s="60">
        <v>120</v>
      </c>
      <c r="H53" s="60">
        <v>169</v>
      </c>
      <c r="I53" s="50">
        <f t="shared" si="8"/>
        <v>-49</v>
      </c>
      <c r="J53" s="60">
        <v>6974</v>
      </c>
      <c r="K53" s="60">
        <v>150</v>
      </c>
      <c r="L53" s="60">
        <v>184</v>
      </c>
      <c r="M53" s="50">
        <f t="shared" si="9"/>
        <v>-34</v>
      </c>
      <c r="N53" s="60">
        <v>2419</v>
      </c>
      <c r="O53" s="60">
        <v>49</v>
      </c>
      <c r="P53" s="60">
        <v>79</v>
      </c>
      <c r="Q53" s="50">
        <f t="shared" si="10"/>
        <v>-30</v>
      </c>
      <c r="R53" s="60">
        <v>3100</v>
      </c>
      <c r="S53" s="60">
        <v>51</v>
      </c>
      <c r="T53" s="60">
        <v>71</v>
      </c>
      <c r="U53" s="50">
        <f t="shared" si="11"/>
        <v>-20</v>
      </c>
      <c r="V53" s="60">
        <v>1322</v>
      </c>
      <c r="W53" s="60">
        <v>47</v>
      </c>
      <c r="X53" s="60">
        <v>36</v>
      </c>
      <c r="Y53" s="50">
        <f t="shared" si="12"/>
        <v>11</v>
      </c>
      <c r="Z53" s="56"/>
      <c r="AA53" s="56"/>
      <c r="AB53" s="56"/>
      <c r="AC53" s="51"/>
      <c r="AD53" s="56"/>
      <c r="AE53" s="56"/>
      <c r="AF53" s="56"/>
      <c r="AG53" s="51"/>
      <c r="AH53" s="56"/>
      <c r="AI53" s="56"/>
      <c r="AJ53" s="56"/>
      <c r="AK53" s="51"/>
      <c r="AL53" s="56"/>
      <c r="AM53" s="56"/>
      <c r="AN53" s="56"/>
      <c r="AO53" s="51"/>
      <c r="AP53" s="51"/>
      <c r="AQ53" s="51"/>
      <c r="AR53" s="51"/>
      <c r="AS53" s="51"/>
      <c r="AT53" s="35"/>
    </row>
    <row r="54" spans="1:46" s="57" customFormat="1" ht="12.75">
      <c r="A54" s="53" t="s">
        <v>22</v>
      </c>
      <c r="B54" s="60">
        <v>1857</v>
      </c>
      <c r="C54" s="60">
        <v>25</v>
      </c>
      <c r="D54" s="60">
        <v>21</v>
      </c>
      <c r="E54" s="50">
        <f t="shared" si="7"/>
        <v>4</v>
      </c>
      <c r="F54" s="60">
        <v>5856</v>
      </c>
      <c r="G54" s="60">
        <v>105</v>
      </c>
      <c r="H54" s="60">
        <v>71</v>
      </c>
      <c r="I54" s="50">
        <f t="shared" si="8"/>
        <v>34</v>
      </c>
      <c r="J54" s="60">
        <v>7040</v>
      </c>
      <c r="K54" s="60">
        <v>118</v>
      </c>
      <c r="L54" s="60">
        <v>96</v>
      </c>
      <c r="M54" s="50">
        <f t="shared" si="9"/>
        <v>22</v>
      </c>
      <c r="N54" s="60">
        <v>2449</v>
      </c>
      <c r="O54" s="60">
        <v>54</v>
      </c>
      <c r="P54" s="60">
        <v>37</v>
      </c>
      <c r="Q54" s="50">
        <f t="shared" si="10"/>
        <v>17</v>
      </c>
      <c r="R54" s="60">
        <v>3131</v>
      </c>
      <c r="S54" s="60">
        <v>67</v>
      </c>
      <c r="T54" s="60">
        <v>53</v>
      </c>
      <c r="U54" s="50">
        <f t="shared" si="11"/>
        <v>14</v>
      </c>
      <c r="V54" s="60">
        <v>1336</v>
      </c>
      <c r="W54" s="60">
        <v>24</v>
      </c>
      <c r="X54" s="60">
        <v>16</v>
      </c>
      <c r="Y54" s="50">
        <f t="shared" si="12"/>
        <v>8</v>
      </c>
      <c r="Z54" s="56"/>
      <c r="AA54" s="56"/>
      <c r="AB54" s="56"/>
      <c r="AC54" s="51"/>
      <c r="AD54" s="56"/>
      <c r="AE54" s="56"/>
      <c r="AF54" s="56"/>
      <c r="AG54" s="51"/>
      <c r="AH54" s="56"/>
      <c r="AI54" s="56"/>
      <c r="AJ54" s="56"/>
      <c r="AK54" s="51"/>
      <c r="AL54" s="56"/>
      <c r="AM54" s="56"/>
      <c r="AN54" s="56"/>
      <c r="AO54" s="51"/>
      <c r="AP54" s="51"/>
      <c r="AQ54" s="51"/>
      <c r="AR54" s="51"/>
      <c r="AS54" s="51"/>
      <c r="AT54" s="35"/>
    </row>
    <row r="55" spans="1:46" s="57" customFormat="1" ht="12.75">
      <c r="A55" s="53" t="s">
        <v>23</v>
      </c>
      <c r="B55" s="60">
        <v>1857</v>
      </c>
      <c r="C55" s="60">
        <v>17</v>
      </c>
      <c r="D55" s="60">
        <v>19</v>
      </c>
      <c r="E55" s="50">
        <f t="shared" si="7"/>
        <v>-2</v>
      </c>
      <c r="F55" s="60">
        <v>5915</v>
      </c>
      <c r="G55" s="60">
        <v>94</v>
      </c>
      <c r="H55" s="60">
        <v>76</v>
      </c>
      <c r="I55" s="50">
        <f t="shared" si="8"/>
        <v>18</v>
      </c>
      <c r="J55" s="60">
        <v>7085</v>
      </c>
      <c r="K55" s="60">
        <v>113</v>
      </c>
      <c r="L55" s="60">
        <v>108</v>
      </c>
      <c r="M55" s="50">
        <f t="shared" si="9"/>
        <v>5</v>
      </c>
      <c r="N55" s="60">
        <v>2475</v>
      </c>
      <c r="O55" s="60">
        <v>34</v>
      </c>
      <c r="P55" s="60">
        <v>29</v>
      </c>
      <c r="Q55" s="50">
        <f t="shared" si="10"/>
        <v>5</v>
      </c>
      <c r="R55" s="60">
        <v>3156</v>
      </c>
      <c r="S55" s="60">
        <v>62</v>
      </c>
      <c r="T55" s="60">
        <v>49</v>
      </c>
      <c r="U55" s="50">
        <f t="shared" si="11"/>
        <v>13</v>
      </c>
      <c r="V55" s="60">
        <v>1347</v>
      </c>
      <c r="W55" s="60">
        <v>24</v>
      </c>
      <c r="X55" s="60">
        <v>18</v>
      </c>
      <c r="Y55" s="50">
        <f t="shared" si="12"/>
        <v>6</v>
      </c>
      <c r="Z55" s="56"/>
      <c r="AA55" s="56"/>
      <c r="AB55" s="56"/>
      <c r="AC55" s="51"/>
      <c r="AD55" s="56"/>
      <c r="AE55" s="56"/>
      <c r="AF55" s="56"/>
      <c r="AG55" s="51"/>
      <c r="AH55" s="56"/>
      <c r="AI55" s="56"/>
      <c r="AJ55" s="56"/>
      <c r="AK55" s="51"/>
      <c r="AL55" s="56"/>
      <c r="AM55" s="56"/>
      <c r="AN55" s="56"/>
      <c r="AO55" s="51"/>
      <c r="AP55" s="51"/>
      <c r="AQ55" s="51"/>
      <c r="AR55" s="51"/>
      <c r="AS55" s="51"/>
      <c r="AT55" s="35"/>
    </row>
    <row r="56" spans="1:46" s="57" customFormat="1" ht="12.75">
      <c r="A56" s="53" t="s">
        <v>24</v>
      </c>
      <c r="B56" s="60">
        <v>1849</v>
      </c>
      <c r="C56" s="60">
        <v>25</v>
      </c>
      <c r="D56" s="60">
        <v>25</v>
      </c>
      <c r="E56" s="50">
        <f t="shared" si="7"/>
        <v>0</v>
      </c>
      <c r="F56" s="60">
        <v>5866</v>
      </c>
      <c r="G56" s="60">
        <v>61</v>
      </c>
      <c r="H56" s="60">
        <v>98</v>
      </c>
      <c r="I56" s="50">
        <f t="shared" si="8"/>
        <v>-37</v>
      </c>
      <c r="J56" s="60">
        <v>7119</v>
      </c>
      <c r="K56" s="60">
        <v>118</v>
      </c>
      <c r="L56" s="60">
        <v>103</v>
      </c>
      <c r="M56" s="50">
        <f t="shared" si="9"/>
        <v>15</v>
      </c>
      <c r="N56" s="60">
        <v>2486</v>
      </c>
      <c r="O56" s="60">
        <v>38</v>
      </c>
      <c r="P56" s="60">
        <v>51</v>
      </c>
      <c r="Q56" s="50">
        <f t="shared" si="10"/>
        <v>-13</v>
      </c>
      <c r="R56" s="60">
        <v>3177</v>
      </c>
      <c r="S56" s="60">
        <v>44</v>
      </c>
      <c r="T56" s="60">
        <v>32</v>
      </c>
      <c r="U56" s="50">
        <f t="shared" si="11"/>
        <v>12</v>
      </c>
      <c r="V56" s="60">
        <v>1348</v>
      </c>
      <c r="W56" s="60">
        <v>20</v>
      </c>
      <c r="X56" s="60">
        <v>24</v>
      </c>
      <c r="Y56" s="50">
        <f t="shared" si="12"/>
        <v>-4</v>
      </c>
      <c r="Z56" s="56"/>
      <c r="AA56" s="56"/>
      <c r="AB56" s="56"/>
      <c r="AC56" s="51"/>
      <c r="AD56" s="56"/>
      <c r="AE56" s="56"/>
      <c r="AF56" s="56"/>
      <c r="AG56" s="51"/>
      <c r="AH56" s="56"/>
      <c r="AI56" s="56"/>
      <c r="AJ56" s="56"/>
      <c r="AK56" s="51"/>
      <c r="AL56" s="56"/>
      <c r="AM56" s="56"/>
      <c r="AN56" s="56"/>
      <c r="AO56" s="51"/>
      <c r="AP56" s="51"/>
      <c r="AQ56" s="51"/>
      <c r="AR56" s="51"/>
      <c r="AS56" s="51"/>
      <c r="AT56" s="35"/>
    </row>
    <row r="57" spans="1:46" s="57" customFormat="1" ht="12.75">
      <c r="A57" s="53"/>
      <c r="B57" s="60"/>
      <c r="C57" s="60"/>
      <c r="D57" s="60"/>
      <c r="E57" s="50"/>
      <c r="F57" s="60"/>
      <c r="G57" s="60"/>
      <c r="H57" s="60"/>
      <c r="I57" s="50"/>
      <c r="J57" s="60"/>
      <c r="K57" s="60"/>
      <c r="L57" s="60"/>
      <c r="M57" s="50"/>
      <c r="N57" s="60"/>
      <c r="O57" s="60"/>
      <c r="P57" s="60"/>
      <c r="Q57" s="50"/>
      <c r="R57" s="60"/>
      <c r="S57" s="60"/>
      <c r="T57" s="60"/>
      <c r="U57" s="50"/>
      <c r="V57" s="60"/>
      <c r="W57" s="60"/>
      <c r="X57" s="60"/>
      <c r="Y57" s="50"/>
      <c r="Z57" s="56"/>
      <c r="AA57" s="56"/>
      <c r="AB57" s="56"/>
      <c r="AC57" s="51"/>
      <c r="AD57" s="56"/>
      <c r="AE57" s="56"/>
      <c r="AF57" s="56"/>
      <c r="AG57" s="51"/>
      <c r="AH57" s="56"/>
      <c r="AI57" s="56"/>
      <c r="AJ57" s="56"/>
      <c r="AK57" s="51"/>
      <c r="AL57" s="56"/>
      <c r="AM57" s="56"/>
      <c r="AN57" s="56"/>
      <c r="AO57" s="51"/>
      <c r="AP57" s="51"/>
      <c r="AQ57" s="51"/>
      <c r="AR57" s="51"/>
      <c r="AS57" s="51"/>
      <c r="AT57" s="35"/>
    </row>
    <row r="58" spans="1:46" ht="21.75" customHeight="1">
      <c r="A58" s="59" t="s">
        <v>1</v>
      </c>
      <c r="B58" s="88" t="s">
        <v>33</v>
      </c>
      <c r="C58" s="87"/>
      <c r="D58" s="87"/>
      <c r="E58" s="89"/>
      <c r="F58" s="88" t="s">
        <v>34</v>
      </c>
      <c r="G58" s="87"/>
      <c r="H58" s="87"/>
      <c r="I58" s="89"/>
      <c r="J58" s="90" t="s">
        <v>35</v>
      </c>
      <c r="K58" s="91"/>
      <c r="L58" s="91"/>
      <c r="M58" s="92"/>
      <c r="N58" s="90" t="s">
        <v>36</v>
      </c>
      <c r="O58" s="91"/>
      <c r="P58" s="91"/>
      <c r="Q58" s="92"/>
      <c r="R58" s="88" t="s">
        <v>37</v>
      </c>
      <c r="S58" s="87"/>
      <c r="T58" s="87"/>
      <c r="U58" s="89"/>
      <c r="V58" s="61"/>
      <c r="W58" s="61"/>
      <c r="X58" s="61"/>
      <c r="Y58" s="61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</row>
    <row r="59" spans="1:46" ht="12.75">
      <c r="A59" s="44"/>
      <c r="B59" s="62" t="s">
        <v>8</v>
      </c>
      <c r="C59" s="63" t="s">
        <v>9</v>
      </c>
      <c r="D59" s="63" t="s">
        <v>10</v>
      </c>
      <c r="E59" s="63" t="s">
        <v>11</v>
      </c>
      <c r="F59" s="62" t="s">
        <v>8</v>
      </c>
      <c r="G59" s="63" t="s">
        <v>9</v>
      </c>
      <c r="H59" s="63" t="s">
        <v>10</v>
      </c>
      <c r="I59" s="64" t="s">
        <v>11</v>
      </c>
      <c r="J59" s="62" t="s">
        <v>8</v>
      </c>
      <c r="K59" s="63" t="s">
        <v>9</v>
      </c>
      <c r="L59" s="63" t="s">
        <v>10</v>
      </c>
      <c r="M59" s="63" t="s">
        <v>11</v>
      </c>
      <c r="N59" s="65" t="s">
        <v>8</v>
      </c>
      <c r="O59" s="63" t="s">
        <v>9</v>
      </c>
      <c r="P59" s="63" t="s">
        <v>10</v>
      </c>
      <c r="Q59" s="66" t="s">
        <v>11</v>
      </c>
      <c r="R59" s="62" t="s">
        <v>8</v>
      </c>
      <c r="S59" s="63" t="s">
        <v>9</v>
      </c>
      <c r="T59" s="63" t="s">
        <v>10</v>
      </c>
      <c r="U59" s="64" t="s">
        <v>11</v>
      </c>
      <c r="V59" s="61"/>
      <c r="W59" s="61"/>
      <c r="X59" s="61"/>
      <c r="Y59" s="61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</row>
    <row r="60" spans="1:46" ht="12.75">
      <c r="A60" s="49" t="s">
        <v>12</v>
      </c>
      <c r="B60" s="50">
        <v>2062</v>
      </c>
      <c r="C60" s="50">
        <v>246</v>
      </c>
      <c r="D60" s="50">
        <v>90</v>
      </c>
      <c r="E60" s="50">
        <f aca="true" t="shared" si="13" ref="E60:E69">C60-D60</f>
        <v>156</v>
      </c>
      <c r="F60" s="50">
        <v>544</v>
      </c>
      <c r="G60" s="50">
        <v>89</v>
      </c>
      <c r="H60" s="50">
        <v>27</v>
      </c>
      <c r="I60" s="50">
        <f aca="true" t="shared" si="14" ref="I60:I69">G60-H60</f>
        <v>62</v>
      </c>
      <c r="J60" s="50">
        <f>99+3+2214</f>
        <v>2316</v>
      </c>
      <c r="K60" s="50">
        <f>16+333</f>
        <v>349</v>
      </c>
      <c r="L60" s="50">
        <v>192</v>
      </c>
      <c r="M60" s="50">
        <f aca="true" t="shared" si="15" ref="M60:M69">K60-L60</f>
        <v>157</v>
      </c>
      <c r="N60" s="50">
        <f>107+129+2562</f>
        <v>2798</v>
      </c>
      <c r="O60" s="50">
        <f>9+13+151</f>
        <v>173</v>
      </c>
      <c r="P60" s="50">
        <v>160</v>
      </c>
      <c r="Q60" s="50">
        <f aca="true" t="shared" si="16" ref="Q60:Q69">O60-P60</f>
        <v>13</v>
      </c>
      <c r="R60" s="50">
        <f aca="true" t="shared" si="17" ref="R60:T63">B6+F6+J6+N6+R6+V6+B60+F60+J60+N60</f>
        <v>28765</v>
      </c>
      <c r="S60" s="50">
        <f t="shared" si="17"/>
        <v>2661</v>
      </c>
      <c r="T60" s="50">
        <f t="shared" si="17"/>
        <v>2146</v>
      </c>
      <c r="U60" s="50">
        <f aca="true" t="shared" si="18" ref="U60:U66">S60-T60</f>
        <v>515</v>
      </c>
      <c r="V60" s="61"/>
      <c r="W60" s="61"/>
      <c r="X60" s="61"/>
      <c r="Y60" s="61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</row>
    <row r="61" spans="1:46" ht="12.75">
      <c r="A61" s="49" t="s">
        <v>13</v>
      </c>
      <c r="B61" s="50">
        <v>2179</v>
      </c>
      <c r="C61" s="50">
        <v>108</v>
      </c>
      <c r="D61" s="50">
        <v>165</v>
      </c>
      <c r="E61" s="50">
        <f t="shared" si="13"/>
        <v>-57</v>
      </c>
      <c r="F61" s="50">
        <v>631</v>
      </c>
      <c r="G61" s="50">
        <v>92</v>
      </c>
      <c r="H61" s="50">
        <v>40</v>
      </c>
      <c r="I61" s="50">
        <f t="shared" si="14"/>
        <v>52</v>
      </c>
      <c r="J61" s="50">
        <f>108+6+2409</f>
        <v>2523</v>
      </c>
      <c r="K61" s="50">
        <f>11+1+342</f>
        <v>354</v>
      </c>
      <c r="L61" s="50">
        <f>15+228</f>
        <v>243</v>
      </c>
      <c r="M61" s="50">
        <f t="shared" si="15"/>
        <v>111</v>
      </c>
      <c r="N61" s="50">
        <f>109+144+2565</f>
        <v>2818</v>
      </c>
      <c r="O61" s="50">
        <f>9+21+120</f>
        <v>150</v>
      </c>
      <c r="P61" s="50">
        <f>8+9+164</f>
        <v>181</v>
      </c>
      <c r="Q61" s="50">
        <f t="shared" si="16"/>
        <v>-31</v>
      </c>
      <c r="R61" s="50">
        <f t="shared" si="17"/>
        <v>29011</v>
      </c>
      <c r="S61" s="50">
        <f t="shared" si="17"/>
        <v>2005</v>
      </c>
      <c r="T61" s="50">
        <f t="shared" si="17"/>
        <v>2333</v>
      </c>
      <c r="U61" s="50">
        <f t="shared" si="18"/>
        <v>-328</v>
      </c>
      <c r="V61" s="61"/>
      <c r="W61" s="61"/>
      <c r="X61" s="61"/>
      <c r="Y61" s="61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</row>
    <row r="62" spans="1:46" ht="12.75">
      <c r="A62" s="49" t="s">
        <v>14</v>
      </c>
      <c r="B62" s="50">
        <v>2303</v>
      </c>
      <c r="C62" s="50">
        <v>85</v>
      </c>
      <c r="D62" s="50">
        <v>104</v>
      </c>
      <c r="E62" s="50">
        <f t="shared" si="13"/>
        <v>-19</v>
      </c>
      <c r="F62" s="50">
        <v>675</v>
      </c>
      <c r="G62" s="50">
        <v>73</v>
      </c>
      <c r="H62" s="50">
        <v>56</v>
      </c>
      <c r="I62" s="50">
        <f t="shared" si="14"/>
        <v>17</v>
      </c>
      <c r="J62" s="50">
        <f>109+11+2429</f>
        <v>2549</v>
      </c>
      <c r="K62" s="50">
        <f>184+9</f>
        <v>193</v>
      </c>
      <c r="L62" s="50">
        <f>243+1+13</f>
        <v>257</v>
      </c>
      <c r="M62" s="50">
        <f t="shared" si="15"/>
        <v>-64</v>
      </c>
      <c r="N62" s="50">
        <f>115+144+2597</f>
        <v>2856</v>
      </c>
      <c r="O62" s="50">
        <f>5+6+117</f>
        <v>128</v>
      </c>
      <c r="P62" s="50">
        <f>137+13+8</f>
        <v>158</v>
      </c>
      <c r="Q62" s="50">
        <f t="shared" si="16"/>
        <v>-30</v>
      </c>
      <c r="R62" s="50">
        <f t="shared" si="17"/>
        <v>29271</v>
      </c>
      <c r="S62" s="50">
        <f t="shared" si="17"/>
        <v>1655</v>
      </c>
      <c r="T62" s="50">
        <f t="shared" si="17"/>
        <v>2083</v>
      </c>
      <c r="U62" s="50">
        <f t="shared" si="18"/>
        <v>-428</v>
      </c>
      <c r="V62" s="61"/>
      <c r="W62" s="61"/>
      <c r="X62" s="61"/>
      <c r="Y62" s="61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</row>
    <row r="63" spans="1:46" ht="12.75">
      <c r="A63" s="49" t="s">
        <v>15</v>
      </c>
      <c r="B63" s="50">
        <v>2444</v>
      </c>
      <c r="C63" s="50">
        <v>93</v>
      </c>
      <c r="D63" s="50">
        <v>112</v>
      </c>
      <c r="E63" s="50">
        <f t="shared" si="13"/>
        <v>-19</v>
      </c>
      <c r="F63" s="50">
        <v>726</v>
      </c>
      <c r="G63" s="50">
        <v>83</v>
      </c>
      <c r="H63" s="50">
        <v>48</v>
      </c>
      <c r="I63" s="50">
        <f t="shared" si="14"/>
        <v>35</v>
      </c>
      <c r="J63" s="50">
        <f>109+14+2528</f>
        <v>2651</v>
      </c>
      <c r="K63" s="60">
        <f>14+1+238</f>
        <v>253</v>
      </c>
      <c r="L63" s="60">
        <f>13+209</f>
        <v>222</v>
      </c>
      <c r="M63" s="50">
        <f t="shared" si="15"/>
        <v>31</v>
      </c>
      <c r="N63" s="50">
        <f>119+155+2614</f>
        <v>2888</v>
      </c>
      <c r="O63" s="50">
        <f>6+5+118</f>
        <v>129</v>
      </c>
      <c r="P63" s="50">
        <f>8+9+149</f>
        <v>166</v>
      </c>
      <c r="Q63" s="50">
        <f t="shared" si="16"/>
        <v>-37</v>
      </c>
      <c r="R63" s="50">
        <f t="shared" si="17"/>
        <v>29588</v>
      </c>
      <c r="S63" s="50">
        <f t="shared" si="17"/>
        <v>1682</v>
      </c>
      <c r="T63" s="50">
        <f t="shared" si="17"/>
        <v>1952</v>
      </c>
      <c r="U63" s="50">
        <f t="shared" si="18"/>
        <v>-270</v>
      </c>
      <c r="V63" s="61"/>
      <c r="W63" s="61"/>
      <c r="X63" s="61"/>
      <c r="Y63" s="61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</row>
    <row r="64" spans="1:46" ht="12.75">
      <c r="A64" s="49" t="s">
        <v>16</v>
      </c>
      <c r="B64" s="50">
        <f>B90</f>
        <v>2620</v>
      </c>
      <c r="C64" s="50">
        <f>SUM(C87:C90)</f>
        <v>137</v>
      </c>
      <c r="D64" s="50">
        <f>SUM(D87:D90)</f>
        <v>129</v>
      </c>
      <c r="E64" s="50">
        <f t="shared" si="13"/>
        <v>8</v>
      </c>
      <c r="F64" s="50">
        <f>F90</f>
        <v>780</v>
      </c>
      <c r="G64" s="50">
        <f>SUM(G87:G90)</f>
        <v>69</v>
      </c>
      <c r="H64" s="50">
        <f>SUM(H87:H90)</f>
        <v>46</v>
      </c>
      <c r="I64" s="50">
        <f t="shared" si="14"/>
        <v>23</v>
      </c>
      <c r="J64" s="50">
        <f>J90</f>
        <v>2676</v>
      </c>
      <c r="K64" s="60">
        <f>SUM(K87:K90)</f>
        <v>213</v>
      </c>
      <c r="L64" s="60">
        <f>SUM(L87:L90)</f>
        <v>260</v>
      </c>
      <c r="M64" s="50">
        <f t="shared" si="15"/>
        <v>-47</v>
      </c>
      <c r="N64" s="50">
        <f>N90</f>
        <v>2892</v>
      </c>
      <c r="O64" s="60">
        <f>SUM(O87:O90)</f>
        <v>108</v>
      </c>
      <c r="P64" s="60">
        <f>SUM(P87:P90)</f>
        <v>157</v>
      </c>
      <c r="Q64" s="50">
        <f t="shared" si="16"/>
        <v>-49</v>
      </c>
      <c r="R64" s="50">
        <f>R90</f>
        <v>30005</v>
      </c>
      <c r="S64" s="60">
        <f>SUM(S87:S90)</f>
        <v>1771</v>
      </c>
      <c r="T64" s="60">
        <f>SUM(T87:T90)</f>
        <v>2044</v>
      </c>
      <c r="U64" s="50">
        <f t="shared" si="18"/>
        <v>-273</v>
      </c>
      <c r="V64" s="61"/>
      <c r="W64" s="61"/>
      <c r="X64" s="61"/>
      <c r="Y64" s="61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</row>
    <row r="65" spans="1:46" ht="12.75">
      <c r="A65" s="49" t="s">
        <v>17</v>
      </c>
      <c r="B65" s="50">
        <f>B94</f>
        <v>2889</v>
      </c>
      <c r="C65" s="50">
        <f>SUM(C91:C94)</f>
        <v>188</v>
      </c>
      <c r="D65" s="50">
        <f>SUM(D91:D94)</f>
        <v>142</v>
      </c>
      <c r="E65" s="50">
        <f t="shared" si="13"/>
        <v>46</v>
      </c>
      <c r="F65" s="50">
        <f>F94</f>
        <v>851</v>
      </c>
      <c r="G65" s="50">
        <f>SUM(G91:G94)</f>
        <v>95</v>
      </c>
      <c r="H65" s="50">
        <f>SUM(H91:H94)</f>
        <v>47</v>
      </c>
      <c r="I65" s="50">
        <f t="shared" si="14"/>
        <v>48</v>
      </c>
      <c r="J65" s="50">
        <f>J94</f>
        <v>2762</v>
      </c>
      <c r="K65" s="50">
        <f>SUM(K91:K94)</f>
        <v>209</v>
      </c>
      <c r="L65" s="50">
        <f>SUM(L91:L94)</f>
        <v>195</v>
      </c>
      <c r="M65" s="50">
        <f t="shared" si="15"/>
        <v>14</v>
      </c>
      <c r="N65" s="50">
        <f>N94</f>
        <v>2938</v>
      </c>
      <c r="O65" s="50">
        <f>SUM(O91:O94)</f>
        <v>121</v>
      </c>
      <c r="P65" s="50">
        <f>SUM(P91:P94)</f>
        <v>123</v>
      </c>
      <c r="Q65" s="50">
        <f t="shared" si="16"/>
        <v>-2</v>
      </c>
      <c r="R65" s="50">
        <f>R94</f>
        <v>30650</v>
      </c>
      <c r="S65" s="50">
        <f>SUM(S91:S94)</f>
        <v>2055</v>
      </c>
      <c r="T65" s="50">
        <f>SUM(T91:T94)</f>
        <v>2126</v>
      </c>
      <c r="U65" s="50">
        <f t="shared" si="18"/>
        <v>-71</v>
      </c>
      <c r="V65" s="61"/>
      <c r="W65" s="61"/>
      <c r="X65" s="61"/>
      <c r="Y65" s="61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</row>
    <row r="66" spans="1:46" ht="12.75">
      <c r="A66" s="49" t="s">
        <v>18</v>
      </c>
      <c r="B66" s="50">
        <v>3285</v>
      </c>
      <c r="C66" s="50">
        <f>SUM(C95:C98)</f>
        <v>186</v>
      </c>
      <c r="D66" s="50">
        <f>SUM(D95:D98)</f>
        <v>106</v>
      </c>
      <c r="E66" s="50">
        <f t="shared" si="13"/>
        <v>80</v>
      </c>
      <c r="F66" s="50">
        <v>888</v>
      </c>
      <c r="G66" s="50">
        <f>SUM(G95:G98)</f>
        <v>83</v>
      </c>
      <c r="H66" s="50">
        <f>SUM(H95:H98)</f>
        <v>66</v>
      </c>
      <c r="I66" s="50">
        <f t="shared" si="14"/>
        <v>17</v>
      </c>
      <c r="J66" s="50">
        <f>149+24+2673</f>
        <v>2846</v>
      </c>
      <c r="K66" s="50">
        <f>SUM(K95:K98)</f>
        <v>236</v>
      </c>
      <c r="L66" s="50">
        <f>SUM(L95:L98)</f>
        <v>202</v>
      </c>
      <c r="M66" s="50">
        <f t="shared" si="15"/>
        <v>34</v>
      </c>
      <c r="N66" s="50">
        <v>2964</v>
      </c>
      <c r="O66" s="50">
        <f>SUM(O95:O98)</f>
        <v>119</v>
      </c>
      <c r="P66" s="50">
        <f>SUM(P95:P98)</f>
        <v>140</v>
      </c>
      <c r="Q66" s="50">
        <f t="shared" si="16"/>
        <v>-21</v>
      </c>
      <c r="R66" s="50">
        <f>B12+F12+J12+N12+R12+V12+B66+F66+J66+N66</f>
        <v>31390</v>
      </c>
      <c r="S66" s="50">
        <f>SUM(S95:S98)</f>
        <v>1984</v>
      </c>
      <c r="T66" s="50">
        <f>SUM(T95:T98)</f>
        <v>1930</v>
      </c>
      <c r="U66" s="50">
        <f t="shared" si="18"/>
        <v>54</v>
      </c>
      <c r="V66" s="61"/>
      <c r="W66" s="61"/>
      <c r="X66" s="61"/>
      <c r="Y66" s="61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</row>
    <row r="67" spans="1:46" ht="12.75">
      <c r="A67" s="49" t="s">
        <v>19</v>
      </c>
      <c r="B67" s="50">
        <v>3718</v>
      </c>
      <c r="C67" s="50">
        <f>SUM(C99:C102)</f>
        <v>155</v>
      </c>
      <c r="D67" s="50">
        <f>SUM(D99:D102)</f>
        <v>168</v>
      </c>
      <c r="E67" s="50">
        <f t="shared" si="13"/>
        <v>-13</v>
      </c>
      <c r="F67" s="50">
        <v>922</v>
      </c>
      <c r="G67" s="50">
        <f>SUM(G99:G102)</f>
        <v>66</v>
      </c>
      <c r="H67" s="50">
        <f>SUM(H99:H102)</f>
        <v>40</v>
      </c>
      <c r="I67" s="50">
        <f t="shared" si="14"/>
        <v>26</v>
      </c>
      <c r="J67" s="50">
        <v>2866</v>
      </c>
      <c r="K67" s="50">
        <f>SUM(K99:K102)</f>
        <v>184</v>
      </c>
      <c r="L67" s="50">
        <f>SUM(L99:L102)</f>
        <v>207</v>
      </c>
      <c r="M67" s="50">
        <f t="shared" si="15"/>
        <v>-23</v>
      </c>
      <c r="N67" s="50">
        <v>3003</v>
      </c>
      <c r="O67" s="50">
        <f>SUM(O99:O102)</f>
        <v>123</v>
      </c>
      <c r="P67" s="50">
        <f>SUM(P99:P102)</f>
        <v>141</v>
      </c>
      <c r="Q67" s="50">
        <f t="shared" si="16"/>
        <v>-18</v>
      </c>
      <c r="R67" s="50">
        <f>R96</f>
        <v>31059</v>
      </c>
      <c r="S67" s="50">
        <f>SUM(S99:S102)</f>
        <v>1781</v>
      </c>
      <c r="T67" s="50">
        <f>SUM(T99:T102)</f>
        <v>2150</v>
      </c>
      <c r="U67" s="50">
        <f>S67-T67</f>
        <v>-369</v>
      </c>
      <c r="V67" s="61"/>
      <c r="W67" s="61"/>
      <c r="X67" s="61"/>
      <c r="Y67" s="61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</row>
    <row r="68" spans="1:46" ht="12.75">
      <c r="A68" s="49" t="s">
        <v>20</v>
      </c>
      <c r="B68" s="60">
        <v>3876</v>
      </c>
      <c r="C68" s="50">
        <f>SUM(C103:C106)</f>
        <v>148</v>
      </c>
      <c r="D68" s="50">
        <f>SUM(D103:D106)</f>
        <v>168</v>
      </c>
      <c r="E68" s="50">
        <f t="shared" si="13"/>
        <v>-20</v>
      </c>
      <c r="F68" s="61">
        <v>944</v>
      </c>
      <c r="G68" s="50">
        <f>SUM(G103:G106)</f>
        <v>61</v>
      </c>
      <c r="H68" s="50">
        <f>SUM(H103:H106)</f>
        <v>51</v>
      </c>
      <c r="I68" s="50">
        <f t="shared" si="14"/>
        <v>10</v>
      </c>
      <c r="J68" s="60">
        <v>2923</v>
      </c>
      <c r="K68" s="50">
        <f>SUM(K103:K106)</f>
        <v>181</v>
      </c>
      <c r="L68" s="50">
        <f>SUM(L103:L106)</f>
        <v>180</v>
      </c>
      <c r="M68" s="50">
        <f t="shared" si="15"/>
        <v>1</v>
      </c>
      <c r="N68" s="60">
        <v>3024</v>
      </c>
      <c r="O68" s="50">
        <f>SUM(O103:O106)</f>
        <v>119</v>
      </c>
      <c r="P68" s="50">
        <f>SUM(P103:P106)</f>
        <v>145</v>
      </c>
      <c r="Q68" s="50">
        <f t="shared" si="16"/>
        <v>-26</v>
      </c>
      <c r="R68" s="50">
        <f>B14+F14+J14+N14+R14+V14+B68+F68+J68+N68</f>
        <v>32379</v>
      </c>
      <c r="S68" s="50">
        <f>SUM(S103:S106)</f>
        <v>1768</v>
      </c>
      <c r="T68" s="50">
        <f>SUM(T103:T106)</f>
        <v>2043</v>
      </c>
      <c r="U68" s="50">
        <f>S68-T68</f>
        <v>-275</v>
      </c>
      <c r="V68" s="61"/>
      <c r="W68" s="61"/>
      <c r="X68" s="61"/>
      <c r="Y68" s="61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</row>
    <row r="69" spans="1:46" ht="12.75">
      <c r="A69" s="49" t="s">
        <v>62</v>
      </c>
      <c r="B69" s="60">
        <v>4257</v>
      </c>
      <c r="C69" s="50">
        <f>SUM(C107:C110)</f>
        <v>211</v>
      </c>
      <c r="D69" s="50">
        <f>SUM(D107:D110)</f>
        <v>177</v>
      </c>
      <c r="E69" s="50">
        <f t="shared" si="13"/>
        <v>34</v>
      </c>
      <c r="F69" s="61">
        <v>953</v>
      </c>
      <c r="G69" s="50">
        <f>SUM(G107:G110)</f>
        <v>68</v>
      </c>
      <c r="H69" s="50">
        <f>SUM(H107:H110)</f>
        <v>81</v>
      </c>
      <c r="I69" s="50">
        <f t="shared" si="14"/>
        <v>-13</v>
      </c>
      <c r="J69" s="60">
        <v>3144</v>
      </c>
      <c r="K69" s="50">
        <f>SUM(K107:K110)</f>
        <v>244</v>
      </c>
      <c r="L69" s="50">
        <f>SUM(L107:L110)</f>
        <v>214</v>
      </c>
      <c r="M69" s="50">
        <f t="shared" si="15"/>
        <v>30</v>
      </c>
      <c r="N69" s="60">
        <v>3090</v>
      </c>
      <c r="O69" s="50">
        <f>SUM(O107:O110)</f>
        <v>138</v>
      </c>
      <c r="P69" s="50">
        <f>SUM(P107:P110)</f>
        <v>189</v>
      </c>
      <c r="Q69" s="50">
        <f t="shared" si="16"/>
        <v>-51</v>
      </c>
      <c r="R69" s="50">
        <f>B15+F15+J15+N15+R15+V15+B69+F69+J69+N69</f>
        <v>33289</v>
      </c>
      <c r="S69" s="50">
        <f>SUM(S107:S110)</f>
        <v>2149</v>
      </c>
      <c r="T69" s="50">
        <f>SUM(T107:T110)</f>
        <v>2173</v>
      </c>
      <c r="U69" s="50">
        <f>S69-T69</f>
        <v>-24</v>
      </c>
      <c r="V69" s="61"/>
      <c r="W69" s="61"/>
      <c r="X69" s="61"/>
      <c r="Y69" s="61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</row>
    <row r="70" spans="1:46" ht="9" customHeight="1">
      <c r="A70" s="52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61"/>
      <c r="W70" s="61"/>
      <c r="X70" s="61"/>
      <c r="Y70" s="61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</row>
    <row r="71" spans="1:46" ht="12.75">
      <c r="A71" s="53" t="s">
        <v>21</v>
      </c>
      <c r="B71" s="50">
        <v>1933</v>
      </c>
      <c r="C71" s="50">
        <v>61</v>
      </c>
      <c r="D71" s="50">
        <v>28</v>
      </c>
      <c r="E71" s="50">
        <f aca="true" t="shared" si="19" ref="E71:E110">C71-D71</f>
        <v>33</v>
      </c>
      <c r="F71" s="50">
        <v>497</v>
      </c>
      <c r="G71" s="50">
        <v>28</v>
      </c>
      <c r="H71" s="50">
        <v>13</v>
      </c>
      <c r="I71" s="50">
        <f aca="true" t="shared" si="20" ref="I71:I110">G71-H71</f>
        <v>15</v>
      </c>
      <c r="J71" s="50">
        <f>103+2+2088</f>
        <v>2193</v>
      </c>
      <c r="K71" s="50">
        <v>98</v>
      </c>
      <c r="L71" s="50">
        <v>71</v>
      </c>
      <c r="M71" s="50">
        <f aca="true" t="shared" si="21" ref="M71:M110">K71-L71</f>
        <v>27</v>
      </c>
      <c r="N71" s="50">
        <f>105+130+2518</f>
        <v>2753</v>
      </c>
      <c r="O71" s="50">
        <v>56</v>
      </c>
      <c r="P71" s="50">
        <v>80</v>
      </c>
      <c r="Q71" s="50">
        <f aca="true" t="shared" si="22" ref="Q71:Q110">O71-P71</f>
        <v>-24</v>
      </c>
      <c r="R71" s="50">
        <f aca="true" t="shared" si="23" ref="R71:R110">B17+F17+J17+N17+R17+V17+B71+F71+J71+N71</f>
        <v>28185</v>
      </c>
      <c r="S71" s="50">
        <f aca="true" t="shared" si="24" ref="S71:S110">C17+G17+K17+O17+S17+W17+C71+G71+K71+O71</f>
        <v>765</v>
      </c>
      <c r="T71" s="50">
        <f aca="true" t="shared" si="25" ref="T71:T110">D17+H17+L17+P17+T17+X17+D71+H71+L71+P71</f>
        <v>917</v>
      </c>
      <c r="U71" s="50">
        <f aca="true" t="shared" si="26" ref="U71:U93">S71-T71</f>
        <v>-152</v>
      </c>
      <c r="V71" s="61"/>
      <c r="W71" s="61"/>
      <c r="X71" s="61"/>
      <c r="Y71" s="61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</row>
    <row r="72" spans="1:46" ht="12.75">
      <c r="A72" s="53" t="s">
        <v>22</v>
      </c>
      <c r="B72" s="50">
        <v>2000</v>
      </c>
      <c r="C72" s="50">
        <v>64</v>
      </c>
      <c r="D72" s="50">
        <v>9</v>
      </c>
      <c r="E72" s="50">
        <f t="shared" si="19"/>
        <v>55</v>
      </c>
      <c r="F72" s="50">
        <v>507</v>
      </c>
      <c r="G72" s="50">
        <v>21</v>
      </c>
      <c r="H72" s="50">
        <v>8</v>
      </c>
      <c r="I72" s="50">
        <f t="shared" si="20"/>
        <v>13</v>
      </c>
      <c r="J72" s="50">
        <f>105+2136</f>
        <v>2241</v>
      </c>
      <c r="K72" s="50">
        <v>77</v>
      </c>
      <c r="L72" s="50">
        <v>29</v>
      </c>
      <c r="M72" s="50">
        <f t="shared" si="21"/>
        <v>48</v>
      </c>
      <c r="N72" s="50">
        <f>107+127+2547</f>
        <v>2781</v>
      </c>
      <c r="O72" s="50">
        <f>44</f>
        <v>44</v>
      </c>
      <c r="P72" s="50">
        <v>21</v>
      </c>
      <c r="Q72" s="50">
        <f t="shared" si="22"/>
        <v>23</v>
      </c>
      <c r="R72" s="50">
        <f t="shared" si="23"/>
        <v>28471</v>
      </c>
      <c r="S72" s="50">
        <f t="shared" si="24"/>
        <v>678</v>
      </c>
      <c r="T72" s="50">
        <f t="shared" si="25"/>
        <v>306</v>
      </c>
      <c r="U72" s="50">
        <f t="shared" si="26"/>
        <v>372</v>
      </c>
      <c r="V72" s="61"/>
      <c r="W72" s="61"/>
      <c r="X72" s="61"/>
      <c r="Y72" s="61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</row>
    <row r="73" spans="1:46" ht="12.75">
      <c r="A73" s="53" t="s">
        <v>23</v>
      </c>
      <c r="B73" s="50">
        <v>2057</v>
      </c>
      <c r="C73" s="50">
        <v>49</v>
      </c>
      <c r="D73" s="50">
        <v>11</v>
      </c>
      <c r="E73" s="50">
        <f t="shared" si="19"/>
        <v>38</v>
      </c>
      <c r="F73" s="50">
        <v>527</v>
      </c>
      <c r="G73" s="50">
        <v>17</v>
      </c>
      <c r="H73" s="50">
        <v>3</v>
      </c>
      <c r="I73" s="50">
        <f t="shared" si="20"/>
        <v>14</v>
      </c>
      <c r="J73" s="50">
        <f>2177+102+3</f>
        <v>2282</v>
      </c>
      <c r="K73" s="50">
        <v>76</v>
      </c>
      <c r="L73" s="50">
        <v>40</v>
      </c>
      <c r="M73" s="50">
        <f t="shared" si="21"/>
        <v>36</v>
      </c>
      <c r="N73" s="50">
        <f>108+130+2558</f>
        <v>2796</v>
      </c>
      <c r="O73" s="50">
        <v>30</v>
      </c>
      <c r="P73" s="50">
        <v>21</v>
      </c>
      <c r="Q73" s="50">
        <f t="shared" si="22"/>
        <v>9</v>
      </c>
      <c r="R73" s="50">
        <f t="shared" si="23"/>
        <v>28676</v>
      </c>
      <c r="S73" s="50">
        <f t="shared" si="24"/>
        <v>612</v>
      </c>
      <c r="T73" s="50">
        <f t="shared" si="25"/>
        <v>365</v>
      </c>
      <c r="U73" s="50">
        <f t="shared" si="26"/>
        <v>247</v>
      </c>
      <c r="V73" s="61"/>
      <c r="W73" s="61"/>
      <c r="X73" s="61"/>
      <c r="Y73" s="61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</row>
    <row r="74" spans="1:46" ht="12.75">
      <c r="A74" s="53" t="s">
        <v>24</v>
      </c>
      <c r="B74" s="50">
        <v>2062</v>
      </c>
      <c r="C74" s="50">
        <f>C60-C71-C72-C73</f>
        <v>72</v>
      </c>
      <c r="D74" s="50">
        <f>D60-D71-D72-D73</f>
        <v>42</v>
      </c>
      <c r="E74" s="50">
        <f t="shared" si="19"/>
        <v>30</v>
      </c>
      <c r="F74" s="50">
        <v>544</v>
      </c>
      <c r="G74" s="50">
        <f>G60-G71-G72-G73</f>
        <v>23</v>
      </c>
      <c r="H74" s="50">
        <f>H60-H71-H72-H73</f>
        <v>3</v>
      </c>
      <c r="I74" s="50">
        <f t="shared" si="20"/>
        <v>20</v>
      </c>
      <c r="J74" s="50">
        <v>2316</v>
      </c>
      <c r="K74" s="50">
        <f>K60-K71-K72-K73</f>
        <v>98</v>
      </c>
      <c r="L74" s="50">
        <f>L60-L71-L72-L73</f>
        <v>52</v>
      </c>
      <c r="M74" s="50">
        <f t="shared" si="21"/>
        <v>46</v>
      </c>
      <c r="N74" s="50">
        <v>2798</v>
      </c>
      <c r="O74" s="50">
        <f>O60-O71-O72-O73</f>
        <v>43</v>
      </c>
      <c r="P74" s="50">
        <f>P60-P71-P72-P73</f>
        <v>38</v>
      </c>
      <c r="Q74" s="50">
        <f t="shared" si="22"/>
        <v>5</v>
      </c>
      <c r="R74" s="50">
        <f t="shared" si="23"/>
        <v>28765</v>
      </c>
      <c r="S74" s="50">
        <f t="shared" si="24"/>
        <v>606</v>
      </c>
      <c r="T74" s="50">
        <f t="shared" si="25"/>
        <v>558</v>
      </c>
      <c r="U74" s="50">
        <f t="shared" si="26"/>
        <v>48</v>
      </c>
      <c r="V74" s="61"/>
      <c r="W74" s="61"/>
      <c r="X74" s="61"/>
      <c r="Y74" s="61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</row>
    <row r="75" spans="1:46" ht="12.75">
      <c r="A75" s="53" t="s">
        <v>25</v>
      </c>
      <c r="B75" s="60">
        <v>2067</v>
      </c>
      <c r="C75" s="60">
        <v>49</v>
      </c>
      <c r="D75" s="60">
        <v>52</v>
      </c>
      <c r="E75" s="50">
        <f t="shared" si="19"/>
        <v>-3</v>
      </c>
      <c r="F75" s="60">
        <v>561</v>
      </c>
      <c r="G75" s="60">
        <v>31</v>
      </c>
      <c r="H75" s="60">
        <v>16</v>
      </c>
      <c r="I75" s="50">
        <f t="shared" si="20"/>
        <v>15</v>
      </c>
      <c r="J75" s="60">
        <f>105+2221</f>
        <v>2326</v>
      </c>
      <c r="K75" s="60">
        <v>110</v>
      </c>
      <c r="L75" s="60">
        <v>102</v>
      </c>
      <c r="M75" s="50">
        <f t="shared" si="21"/>
        <v>8</v>
      </c>
      <c r="N75" s="60">
        <f>107+126+2508</f>
        <v>2741</v>
      </c>
      <c r="O75" s="60">
        <v>34</v>
      </c>
      <c r="P75" s="60">
        <v>83</v>
      </c>
      <c r="Q75" s="50">
        <f t="shared" si="22"/>
        <v>-49</v>
      </c>
      <c r="R75" s="50">
        <f t="shared" si="23"/>
        <v>28395</v>
      </c>
      <c r="S75" s="50">
        <f t="shared" si="24"/>
        <v>668</v>
      </c>
      <c r="T75" s="50">
        <f t="shared" si="25"/>
        <v>968</v>
      </c>
      <c r="U75" s="50">
        <f t="shared" si="26"/>
        <v>-300</v>
      </c>
      <c r="V75" s="61"/>
      <c r="W75" s="61"/>
      <c r="X75" s="61"/>
      <c r="Y75" s="61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</row>
    <row r="76" spans="1:46" ht="12.75">
      <c r="A76" s="53" t="s">
        <v>22</v>
      </c>
      <c r="B76" s="60">
        <v>2129</v>
      </c>
      <c r="C76" s="60">
        <v>21</v>
      </c>
      <c r="D76" s="60">
        <v>36</v>
      </c>
      <c r="E76" s="50">
        <f t="shared" si="19"/>
        <v>-15</v>
      </c>
      <c r="F76" s="60">
        <v>587</v>
      </c>
      <c r="G76" s="60">
        <v>26</v>
      </c>
      <c r="H76" s="60">
        <v>6</v>
      </c>
      <c r="I76" s="50">
        <f t="shared" si="20"/>
        <v>20</v>
      </c>
      <c r="J76" s="60">
        <f>109+6+2286</f>
        <v>2401</v>
      </c>
      <c r="K76" s="60">
        <f>4+89+1</f>
        <v>94</v>
      </c>
      <c r="L76" s="60">
        <f>3+39</f>
        <v>42</v>
      </c>
      <c r="M76" s="50">
        <f t="shared" si="21"/>
        <v>52</v>
      </c>
      <c r="N76" s="60">
        <f>105+123+2538</f>
        <v>2766</v>
      </c>
      <c r="O76" s="60">
        <v>39</v>
      </c>
      <c r="P76" s="60">
        <v>35</v>
      </c>
      <c r="Q76" s="50">
        <f t="shared" si="22"/>
        <v>4</v>
      </c>
      <c r="R76" s="50">
        <f t="shared" si="23"/>
        <v>28723</v>
      </c>
      <c r="S76" s="50">
        <f t="shared" si="24"/>
        <v>562</v>
      </c>
      <c r="T76" s="50">
        <f t="shared" si="25"/>
        <v>400</v>
      </c>
      <c r="U76" s="50">
        <f t="shared" si="26"/>
        <v>162</v>
      </c>
      <c r="V76" s="61"/>
      <c r="W76" s="61"/>
      <c r="X76" s="61"/>
      <c r="Y76" s="61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</row>
    <row r="77" spans="1:46" ht="12.75">
      <c r="A77" s="53" t="s">
        <v>23</v>
      </c>
      <c r="B77" s="60">
        <v>2140</v>
      </c>
      <c r="C77" s="60">
        <v>18</v>
      </c>
      <c r="D77" s="60">
        <v>25</v>
      </c>
      <c r="E77" s="50">
        <f t="shared" si="19"/>
        <v>-7</v>
      </c>
      <c r="F77" s="60">
        <v>602</v>
      </c>
      <c r="G77" s="60">
        <v>19</v>
      </c>
      <c r="H77" s="60">
        <v>4</v>
      </c>
      <c r="I77" s="50">
        <f t="shared" si="20"/>
        <v>15</v>
      </c>
      <c r="J77" s="60">
        <f>110+5+2330</f>
        <v>2445</v>
      </c>
      <c r="K77" s="60">
        <f>76</f>
        <v>76</v>
      </c>
      <c r="L77" s="60">
        <f>39+1</f>
        <v>40</v>
      </c>
      <c r="M77" s="50">
        <f t="shared" si="21"/>
        <v>36</v>
      </c>
      <c r="N77" s="60">
        <f>105+132+2555</f>
        <v>2792</v>
      </c>
      <c r="O77" s="60">
        <f>2+8+29</f>
        <v>39</v>
      </c>
      <c r="P77" s="60">
        <f>27+1+2</f>
        <v>30</v>
      </c>
      <c r="Q77" s="50">
        <f t="shared" si="22"/>
        <v>9</v>
      </c>
      <c r="R77" s="50">
        <f t="shared" si="23"/>
        <v>28829</v>
      </c>
      <c r="S77" s="50">
        <f t="shared" si="24"/>
        <v>394</v>
      </c>
      <c r="T77" s="50">
        <f t="shared" si="25"/>
        <v>388</v>
      </c>
      <c r="U77" s="50">
        <f t="shared" si="26"/>
        <v>6</v>
      </c>
      <c r="V77" s="61"/>
      <c r="W77" s="61"/>
      <c r="X77" s="61"/>
      <c r="Y77" s="61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</row>
    <row r="78" spans="1:46" ht="12.75">
      <c r="A78" s="53" t="s">
        <v>24</v>
      </c>
      <c r="B78" s="60">
        <f>B61</f>
        <v>2179</v>
      </c>
      <c r="C78" s="60">
        <f>C61-C77-C76-C75</f>
        <v>20</v>
      </c>
      <c r="D78" s="60">
        <f>D61-D77-D76-D75</f>
        <v>52</v>
      </c>
      <c r="E78" s="50">
        <f t="shared" si="19"/>
        <v>-32</v>
      </c>
      <c r="F78" s="60">
        <f>F61</f>
        <v>631</v>
      </c>
      <c r="G78" s="60">
        <f>G61-G77-G76-G75</f>
        <v>16</v>
      </c>
      <c r="H78" s="60">
        <f>H61-H77-H76-H75</f>
        <v>14</v>
      </c>
      <c r="I78" s="50">
        <f t="shared" si="20"/>
        <v>2</v>
      </c>
      <c r="J78" s="60">
        <f>J61</f>
        <v>2523</v>
      </c>
      <c r="K78" s="60">
        <f>K61-K77-K76-K75</f>
        <v>74</v>
      </c>
      <c r="L78" s="60">
        <f>L61-L77-L76-L75</f>
        <v>59</v>
      </c>
      <c r="M78" s="50">
        <f t="shared" si="21"/>
        <v>15</v>
      </c>
      <c r="N78" s="60">
        <f>N61</f>
        <v>2818</v>
      </c>
      <c r="O78" s="60">
        <f>O61-O77-O76-O75</f>
        <v>38</v>
      </c>
      <c r="P78" s="60">
        <f>P61-P77-P76-P75</f>
        <v>33</v>
      </c>
      <c r="Q78" s="50">
        <f t="shared" si="22"/>
        <v>5</v>
      </c>
      <c r="R78" s="50">
        <f t="shared" si="23"/>
        <v>29011</v>
      </c>
      <c r="S78" s="50">
        <f t="shared" si="24"/>
        <v>381</v>
      </c>
      <c r="T78" s="50">
        <f t="shared" si="25"/>
        <v>577</v>
      </c>
      <c r="U78" s="50">
        <f t="shared" si="26"/>
        <v>-196</v>
      </c>
      <c r="V78" s="61"/>
      <c r="W78" s="61"/>
      <c r="X78" s="61"/>
      <c r="Y78" s="61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</row>
    <row r="79" spans="1:46" ht="12.75">
      <c r="A79" s="53" t="s">
        <v>26</v>
      </c>
      <c r="B79" s="60">
        <v>2240</v>
      </c>
      <c r="C79" s="60">
        <v>29</v>
      </c>
      <c r="D79" s="60">
        <v>12</v>
      </c>
      <c r="E79" s="50">
        <f t="shared" si="19"/>
        <v>17</v>
      </c>
      <c r="F79" s="60">
        <v>644</v>
      </c>
      <c r="G79" s="60">
        <v>23</v>
      </c>
      <c r="H79" s="60">
        <v>16</v>
      </c>
      <c r="I79" s="50">
        <f t="shared" si="20"/>
        <v>7</v>
      </c>
      <c r="J79" s="60">
        <f>108+7+2394</f>
        <v>2509</v>
      </c>
      <c r="K79" s="60">
        <f>49</f>
        <v>49</v>
      </c>
      <c r="L79" s="60">
        <f>93+6</f>
        <v>99</v>
      </c>
      <c r="M79" s="50">
        <f t="shared" si="21"/>
        <v>-50</v>
      </c>
      <c r="N79" s="60">
        <f>109+146+2552</f>
        <v>2807</v>
      </c>
      <c r="O79" s="60">
        <f>2+3+31</f>
        <v>36</v>
      </c>
      <c r="P79" s="60">
        <f>4+3+51</f>
        <v>58</v>
      </c>
      <c r="Q79" s="50">
        <f t="shared" si="22"/>
        <v>-22</v>
      </c>
      <c r="R79" s="50">
        <f t="shared" si="23"/>
        <v>28891</v>
      </c>
      <c r="S79" s="50">
        <f t="shared" si="24"/>
        <v>466</v>
      </c>
      <c r="T79" s="50">
        <f t="shared" si="25"/>
        <v>764</v>
      </c>
      <c r="U79" s="50">
        <f t="shared" si="26"/>
        <v>-298</v>
      </c>
      <c r="V79" s="61"/>
      <c r="W79" s="61"/>
      <c r="X79" s="61"/>
      <c r="Y79" s="61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</row>
    <row r="80" spans="1:46" ht="12.75">
      <c r="A80" s="53" t="s">
        <v>22</v>
      </c>
      <c r="B80" s="60">
        <v>2270</v>
      </c>
      <c r="C80" s="61">
        <v>21</v>
      </c>
      <c r="D80" s="61">
        <v>15</v>
      </c>
      <c r="E80" s="50">
        <f t="shared" si="19"/>
        <v>6</v>
      </c>
      <c r="F80" s="61">
        <v>672</v>
      </c>
      <c r="G80" s="61">
        <v>26</v>
      </c>
      <c r="H80" s="61">
        <v>7</v>
      </c>
      <c r="I80" s="50">
        <f t="shared" si="20"/>
        <v>19</v>
      </c>
      <c r="J80" s="60">
        <f>2416+9+107</f>
        <v>2532</v>
      </c>
      <c r="K80" s="60">
        <f>58+2</f>
        <v>60</v>
      </c>
      <c r="L80" s="60">
        <f>54+1+2</f>
        <v>57</v>
      </c>
      <c r="M80" s="50">
        <f t="shared" si="21"/>
        <v>3</v>
      </c>
      <c r="N80" s="60">
        <f>111+144+2560</f>
        <v>2815</v>
      </c>
      <c r="O80" s="60">
        <f>27+1+1</f>
        <v>29</v>
      </c>
      <c r="P80" s="60">
        <v>36</v>
      </c>
      <c r="Q80" s="50">
        <f t="shared" si="22"/>
        <v>-7</v>
      </c>
      <c r="R80" s="50">
        <f t="shared" si="23"/>
        <v>29096</v>
      </c>
      <c r="S80" s="50">
        <f t="shared" si="24"/>
        <v>416</v>
      </c>
      <c r="T80" s="50">
        <f t="shared" si="25"/>
        <v>386</v>
      </c>
      <c r="U80" s="50">
        <f t="shared" si="26"/>
        <v>30</v>
      </c>
      <c r="V80" s="61"/>
      <c r="W80" s="61"/>
      <c r="X80" s="61"/>
      <c r="Y80" s="61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</row>
    <row r="81" spans="1:46" ht="12.75">
      <c r="A81" s="53" t="s">
        <v>23</v>
      </c>
      <c r="B81" s="60">
        <v>2283</v>
      </c>
      <c r="C81" s="61">
        <v>10</v>
      </c>
      <c r="D81" s="61">
        <v>19</v>
      </c>
      <c r="E81" s="50">
        <f t="shared" si="19"/>
        <v>-9</v>
      </c>
      <c r="F81" s="60">
        <v>672</v>
      </c>
      <c r="G81" s="61">
        <v>8</v>
      </c>
      <c r="H81" s="61">
        <v>8</v>
      </c>
      <c r="I81" s="50">
        <f t="shared" si="20"/>
        <v>0</v>
      </c>
      <c r="J81" s="60">
        <f>107+11+2417</f>
        <v>2535</v>
      </c>
      <c r="K81" s="60">
        <f>30+3</f>
        <v>33</v>
      </c>
      <c r="L81" s="60">
        <f>1+38</f>
        <v>39</v>
      </c>
      <c r="M81" s="50">
        <f t="shared" si="21"/>
        <v>-6</v>
      </c>
      <c r="N81" s="60">
        <f>110+144+2569</f>
        <v>2823</v>
      </c>
      <c r="O81" s="60">
        <v>24</v>
      </c>
      <c r="P81" s="60">
        <v>29</v>
      </c>
      <c r="Q81" s="50">
        <f t="shared" si="22"/>
        <v>-5</v>
      </c>
      <c r="R81" s="50">
        <f t="shared" si="23"/>
        <v>29144</v>
      </c>
      <c r="S81" s="50">
        <f t="shared" si="24"/>
        <v>335</v>
      </c>
      <c r="T81" s="50">
        <f t="shared" si="25"/>
        <v>357</v>
      </c>
      <c r="U81" s="50">
        <f t="shared" si="26"/>
        <v>-22</v>
      </c>
      <c r="V81" s="61"/>
      <c r="W81" s="61"/>
      <c r="X81" s="61"/>
      <c r="Y81" s="61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</row>
    <row r="82" spans="1:46" ht="12.75">
      <c r="A82" s="53" t="s">
        <v>24</v>
      </c>
      <c r="B82" s="50">
        <v>2303</v>
      </c>
      <c r="C82" s="60">
        <f>C62-C81-C80-C79</f>
        <v>25</v>
      </c>
      <c r="D82" s="60">
        <f>D62-D81-D80-D79</f>
        <v>58</v>
      </c>
      <c r="E82" s="50">
        <f t="shared" si="19"/>
        <v>-33</v>
      </c>
      <c r="F82" s="50">
        <v>675</v>
      </c>
      <c r="G82" s="60">
        <f>G62-G81-G80-G79</f>
        <v>16</v>
      </c>
      <c r="H82" s="60">
        <f>H62-H81-H80-H79</f>
        <v>25</v>
      </c>
      <c r="I82" s="50">
        <f t="shared" si="20"/>
        <v>-9</v>
      </c>
      <c r="J82" s="50">
        <f>109+11+2429</f>
        <v>2549</v>
      </c>
      <c r="K82" s="60">
        <f>K62-K81-K80-K79</f>
        <v>51</v>
      </c>
      <c r="L82" s="60">
        <f>L62-L81-L80-L79</f>
        <v>62</v>
      </c>
      <c r="M82" s="50">
        <f t="shared" si="21"/>
        <v>-11</v>
      </c>
      <c r="N82" s="50">
        <f>115+144+2597</f>
        <v>2856</v>
      </c>
      <c r="O82" s="60">
        <f>O62-O81-O80-O79</f>
        <v>39</v>
      </c>
      <c r="P82" s="60">
        <f>P62-P81-P80-P79</f>
        <v>35</v>
      </c>
      <c r="Q82" s="50">
        <f t="shared" si="22"/>
        <v>4</v>
      </c>
      <c r="R82" s="50">
        <f t="shared" si="23"/>
        <v>29271</v>
      </c>
      <c r="S82" s="50">
        <f t="shared" si="24"/>
        <v>438</v>
      </c>
      <c r="T82" s="50">
        <f t="shared" si="25"/>
        <v>576</v>
      </c>
      <c r="U82" s="50">
        <f t="shared" si="26"/>
        <v>-138</v>
      </c>
      <c r="V82" s="61"/>
      <c r="W82" s="61"/>
      <c r="X82" s="61"/>
      <c r="Y82" s="61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</row>
    <row r="83" spans="1:46" ht="12.75">
      <c r="A83" s="53" t="s">
        <v>27</v>
      </c>
      <c r="B83" s="50">
        <v>2337</v>
      </c>
      <c r="C83" s="60">
        <v>25</v>
      </c>
      <c r="D83" s="60">
        <v>29</v>
      </c>
      <c r="E83" s="50">
        <f t="shared" si="19"/>
        <v>-4</v>
      </c>
      <c r="F83" s="50">
        <v>677</v>
      </c>
      <c r="G83" s="60">
        <v>29</v>
      </c>
      <c r="H83" s="60">
        <v>30</v>
      </c>
      <c r="I83" s="50">
        <f t="shared" si="20"/>
        <v>-1</v>
      </c>
      <c r="J83" s="50">
        <f>2398+11+106</f>
        <v>2515</v>
      </c>
      <c r="K83" s="60">
        <f>51+3</f>
        <v>54</v>
      </c>
      <c r="L83" s="60">
        <f>87+5</f>
        <v>92</v>
      </c>
      <c r="M83" s="50">
        <f t="shared" si="21"/>
        <v>-38</v>
      </c>
      <c r="N83" s="50">
        <f>112+143+2576</f>
        <v>2831</v>
      </c>
      <c r="O83" s="60">
        <f>2+29</f>
        <v>31</v>
      </c>
      <c r="P83" s="60">
        <f>7+3+62</f>
        <v>72</v>
      </c>
      <c r="Q83" s="50">
        <f t="shared" si="22"/>
        <v>-41</v>
      </c>
      <c r="R83" s="50">
        <f t="shared" si="23"/>
        <v>29124</v>
      </c>
      <c r="S83" s="50">
        <f t="shared" si="24"/>
        <v>535</v>
      </c>
      <c r="T83" s="50">
        <f t="shared" si="25"/>
        <v>816</v>
      </c>
      <c r="U83" s="50">
        <f t="shared" si="26"/>
        <v>-281</v>
      </c>
      <c r="V83" s="61"/>
      <c r="W83" s="61"/>
      <c r="X83" s="61"/>
      <c r="Y83" s="61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</row>
    <row r="84" spans="1:46" ht="12.75">
      <c r="A84" s="53" t="s">
        <v>22</v>
      </c>
      <c r="B84" s="50">
        <v>2384</v>
      </c>
      <c r="C84" s="60">
        <v>23</v>
      </c>
      <c r="D84" s="60">
        <v>19</v>
      </c>
      <c r="E84" s="50">
        <f t="shared" si="19"/>
        <v>4</v>
      </c>
      <c r="F84" s="50">
        <v>689</v>
      </c>
      <c r="G84" s="60">
        <v>18</v>
      </c>
      <c r="H84" s="60">
        <v>5</v>
      </c>
      <c r="I84" s="50">
        <f t="shared" si="20"/>
        <v>13</v>
      </c>
      <c r="J84" s="50">
        <f>2468+12+102</f>
        <v>2582</v>
      </c>
      <c r="K84" s="60">
        <f>5+73</f>
        <v>78</v>
      </c>
      <c r="L84" s="60">
        <f>32+4</f>
        <v>36</v>
      </c>
      <c r="M84" s="50">
        <f t="shared" si="21"/>
        <v>42</v>
      </c>
      <c r="N84" s="50">
        <f>113+148+2578</f>
        <v>2839</v>
      </c>
      <c r="O84" s="60">
        <f>1+2+31</f>
        <v>34</v>
      </c>
      <c r="P84" s="60">
        <f>2+35</f>
        <v>37</v>
      </c>
      <c r="Q84" s="50">
        <f t="shared" si="22"/>
        <v>-3</v>
      </c>
      <c r="R84" s="50">
        <f t="shared" si="23"/>
        <v>29356</v>
      </c>
      <c r="S84" s="50">
        <f t="shared" si="24"/>
        <v>436</v>
      </c>
      <c r="T84" s="50">
        <f t="shared" si="25"/>
        <v>356</v>
      </c>
      <c r="U84" s="50">
        <f t="shared" si="26"/>
        <v>80</v>
      </c>
      <c r="V84" s="61"/>
      <c r="W84" s="61"/>
      <c r="X84" s="61"/>
      <c r="Y84" s="61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</row>
    <row r="85" spans="1:46" ht="12.75">
      <c r="A85" s="53" t="s">
        <v>23</v>
      </c>
      <c r="B85" s="50">
        <v>2425</v>
      </c>
      <c r="C85" s="60">
        <v>31</v>
      </c>
      <c r="D85" s="60">
        <v>24</v>
      </c>
      <c r="E85" s="50">
        <f t="shared" si="19"/>
        <v>7</v>
      </c>
      <c r="F85" s="50">
        <v>714</v>
      </c>
      <c r="G85" s="60">
        <v>24</v>
      </c>
      <c r="H85" s="60">
        <v>4</v>
      </c>
      <c r="I85" s="50">
        <f t="shared" si="20"/>
        <v>20</v>
      </c>
      <c r="J85" s="50">
        <f>105+12+2511</f>
        <v>2628</v>
      </c>
      <c r="K85" s="60">
        <f>63+4</f>
        <v>67</v>
      </c>
      <c r="L85" s="60">
        <f>37+2</f>
        <v>39</v>
      </c>
      <c r="M85" s="50">
        <f t="shared" si="21"/>
        <v>28</v>
      </c>
      <c r="N85" s="50">
        <f>116+148+2601</f>
        <v>2865</v>
      </c>
      <c r="O85" s="60">
        <f>36+2+2</f>
        <v>40</v>
      </c>
      <c r="P85" s="60">
        <f>27+1</f>
        <v>28</v>
      </c>
      <c r="Q85" s="50">
        <f t="shared" si="22"/>
        <v>12</v>
      </c>
      <c r="R85" s="50">
        <f t="shared" si="23"/>
        <v>29550</v>
      </c>
      <c r="S85" s="50">
        <f t="shared" si="24"/>
        <v>421</v>
      </c>
      <c r="T85" s="50">
        <f t="shared" si="25"/>
        <v>358</v>
      </c>
      <c r="U85" s="50">
        <f t="shared" si="26"/>
        <v>63</v>
      </c>
      <c r="V85" s="61"/>
      <c r="W85" s="61"/>
      <c r="X85" s="61"/>
      <c r="Y85" s="61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</row>
    <row r="86" spans="1:46" ht="12.75">
      <c r="A86" s="53" t="s">
        <v>24</v>
      </c>
      <c r="B86" s="50">
        <v>2444</v>
      </c>
      <c r="C86" s="60">
        <f>C63-C85-C84-C83</f>
        <v>14</v>
      </c>
      <c r="D86" s="60">
        <f>D63-D85-D84-D83</f>
        <v>40</v>
      </c>
      <c r="E86" s="50">
        <f t="shared" si="19"/>
        <v>-26</v>
      </c>
      <c r="F86" s="50">
        <v>726</v>
      </c>
      <c r="G86" s="60">
        <f>G63-G85-G84-G83</f>
        <v>12</v>
      </c>
      <c r="H86" s="60">
        <f>H63-H85-H84-H83</f>
        <v>9</v>
      </c>
      <c r="I86" s="50">
        <f t="shared" si="20"/>
        <v>3</v>
      </c>
      <c r="J86" s="50">
        <f>109+14+2528</f>
        <v>2651</v>
      </c>
      <c r="K86" s="60">
        <f>K63-K85-K84-K83</f>
        <v>54</v>
      </c>
      <c r="L86" s="60">
        <f>L63-L85-L84-L83</f>
        <v>55</v>
      </c>
      <c r="M86" s="50">
        <f t="shared" si="21"/>
        <v>-1</v>
      </c>
      <c r="N86" s="50">
        <f>119+155+2614</f>
        <v>2888</v>
      </c>
      <c r="O86" s="60">
        <f>O63-O85-O84-O83</f>
        <v>24</v>
      </c>
      <c r="P86" s="60">
        <f>P63-P85-P84-P83</f>
        <v>29</v>
      </c>
      <c r="Q86" s="50">
        <f t="shared" si="22"/>
        <v>-5</v>
      </c>
      <c r="R86" s="50">
        <f t="shared" si="23"/>
        <v>29588</v>
      </c>
      <c r="S86" s="50">
        <f t="shared" si="24"/>
        <v>290</v>
      </c>
      <c r="T86" s="50">
        <f t="shared" si="25"/>
        <v>422</v>
      </c>
      <c r="U86" s="50">
        <f t="shared" si="26"/>
        <v>-132</v>
      </c>
      <c r="V86" s="61"/>
      <c r="W86" s="61"/>
      <c r="X86" s="61"/>
      <c r="Y86" s="61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</row>
    <row r="87" spans="1:46" ht="12.75">
      <c r="A87" s="53" t="s">
        <v>28</v>
      </c>
      <c r="B87" s="50">
        <v>2488</v>
      </c>
      <c r="C87" s="60">
        <v>40</v>
      </c>
      <c r="D87" s="60">
        <v>33</v>
      </c>
      <c r="E87" s="50">
        <f t="shared" si="19"/>
        <v>7</v>
      </c>
      <c r="F87" s="50">
        <v>743</v>
      </c>
      <c r="G87" s="60">
        <v>32</v>
      </c>
      <c r="H87" s="60">
        <v>19</v>
      </c>
      <c r="I87" s="50">
        <f t="shared" si="20"/>
        <v>13</v>
      </c>
      <c r="J87" s="50">
        <f>2495+14+116</f>
        <v>2625</v>
      </c>
      <c r="K87" s="60">
        <f>59+1+9</f>
        <v>69</v>
      </c>
      <c r="L87" s="60">
        <f>116+1+4</f>
        <v>121</v>
      </c>
      <c r="M87" s="50">
        <f t="shared" si="21"/>
        <v>-52</v>
      </c>
      <c r="N87" s="50">
        <f>123+149+2599</f>
        <v>2871</v>
      </c>
      <c r="O87" s="60">
        <f>4+29</f>
        <v>33</v>
      </c>
      <c r="P87" s="60">
        <f>2+13+49</f>
        <v>64</v>
      </c>
      <c r="Q87" s="50">
        <f t="shared" si="22"/>
        <v>-31</v>
      </c>
      <c r="R87" s="50">
        <f t="shared" si="23"/>
        <v>29484</v>
      </c>
      <c r="S87" s="50">
        <f t="shared" si="24"/>
        <v>507</v>
      </c>
      <c r="T87" s="50">
        <f t="shared" si="25"/>
        <v>732</v>
      </c>
      <c r="U87" s="50">
        <f t="shared" si="26"/>
        <v>-225</v>
      </c>
      <c r="V87" s="61"/>
      <c r="W87" s="61"/>
      <c r="X87" s="61"/>
      <c r="Y87" s="61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</row>
    <row r="88" spans="1:46" ht="12.75">
      <c r="A88" s="53" t="s">
        <v>22</v>
      </c>
      <c r="B88" s="50">
        <v>2518</v>
      </c>
      <c r="C88" s="60">
        <v>18</v>
      </c>
      <c r="D88" s="60">
        <v>19</v>
      </c>
      <c r="E88" s="50">
        <f t="shared" si="19"/>
        <v>-1</v>
      </c>
      <c r="F88" s="50">
        <v>764</v>
      </c>
      <c r="G88" s="60">
        <v>18</v>
      </c>
      <c r="H88" s="60">
        <v>7</v>
      </c>
      <c r="I88" s="50">
        <f t="shared" si="20"/>
        <v>11</v>
      </c>
      <c r="J88" s="50">
        <f>2513+15+125</f>
        <v>2653</v>
      </c>
      <c r="K88" s="60">
        <f>53+7</f>
        <v>60</v>
      </c>
      <c r="L88" s="60">
        <f>47+2</f>
        <v>49</v>
      </c>
      <c r="M88" s="50">
        <f t="shared" si="21"/>
        <v>11</v>
      </c>
      <c r="N88" s="50">
        <f>2577+149+120</f>
        <v>2846</v>
      </c>
      <c r="O88" s="60">
        <f>2+15</f>
        <v>17</v>
      </c>
      <c r="P88" s="60">
        <f>4+3+48</f>
        <v>55</v>
      </c>
      <c r="Q88" s="50">
        <f t="shared" si="22"/>
        <v>-38</v>
      </c>
      <c r="R88" s="50">
        <f t="shared" si="23"/>
        <v>29584</v>
      </c>
      <c r="S88" s="50">
        <f t="shared" si="24"/>
        <v>385</v>
      </c>
      <c r="T88" s="50">
        <f t="shared" si="25"/>
        <v>430</v>
      </c>
      <c r="U88" s="50">
        <f t="shared" si="26"/>
        <v>-45</v>
      </c>
      <c r="V88" s="61"/>
      <c r="W88" s="61"/>
      <c r="X88" s="61"/>
      <c r="Y88" s="61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</row>
    <row r="89" spans="1:46" ht="12.75">
      <c r="A89" s="53" t="s">
        <v>23</v>
      </c>
      <c r="B89" s="50">
        <v>2568</v>
      </c>
      <c r="C89" s="60">
        <v>32</v>
      </c>
      <c r="D89" s="60">
        <v>24</v>
      </c>
      <c r="E89" s="50">
        <f t="shared" si="19"/>
        <v>8</v>
      </c>
      <c r="F89" s="50">
        <v>777</v>
      </c>
      <c r="G89" s="60">
        <v>7</v>
      </c>
      <c r="H89" s="60">
        <v>6</v>
      </c>
      <c r="I89" s="50">
        <f t="shared" si="20"/>
        <v>1</v>
      </c>
      <c r="J89" s="50">
        <f>2524+19+127</f>
        <v>2670</v>
      </c>
      <c r="K89" s="60">
        <f>28+2+4</f>
        <v>34</v>
      </c>
      <c r="L89" s="60">
        <f>37+1+2</f>
        <v>40</v>
      </c>
      <c r="M89" s="50">
        <f t="shared" si="21"/>
        <v>-6</v>
      </c>
      <c r="N89" s="50">
        <f>120+155+2606</f>
        <v>2881</v>
      </c>
      <c r="O89" s="60">
        <f>2+35</f>
        <v>37</v>
      </c>
      <c r="P89" s="60">
        <f>1+11</f>
        <v>12</v>
      </c>
      <c r="Q89" s="50">
        <f t="shared" si="22"/>
        <v>25</v>
      </c>
      <c r="R89" s="50">
        <f t="shared" si="23"/>
        <v>29895</v>
      </c>
      <c r="S89" s="50">
        <f t="shared" si="24"/>
        <v>440</v>
      </c>
      <c r="T89" s="50">
        <f t="shared" si="25"/>
        <v>358</v>
      </c>
      <c r="U89" s="50">
        <f t="shared" si="26"/>
        <v>82</v>
      </c>
      <c r="V89" s="61"/>
      <c r="W89" s="61"/>
      <c r="X89" s="61"/>
      <c r="Y89" s="61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</row>
    <row r="90" spans="1:46" ht="12.75">
      <c r="A90" s="53" t="s">
        <v>24</v>
      </c>
      <c r="B90" s="50">
        <v>2620</v>
      </c>
      <c r="C90" s="60">
        <v>47</v>
      </c>
      <c r="D90" s="60">
        <v>53</v>
      </c>
      <c r="E90" s="50">
        <f t="shared" si="19"/>
        <v>-6</v>
      </c>
      <c r="F90" s="50">
        <v>780</v>
      </c>
      <c r="G90" s="60">
        <v>12</v>
      </c>
      <c r="H90" s="60">
        <v>14</v>
      </c>
      <c r="I90" s="50">
        <f t="shared" si="20"/>
        <v>-2</v>
      </c>
      <c r="J90" s="50">
        <v>2676</v>
      </c>
      <c r="K90" s="60">
        <v>50</v>
      </c>
      <c r="L90" s="60">
        <v>50</v>
      </c>
      <c r="M90" s="50">
        <f t="shared" si="21"/>
        <v>0</v>
      </c>
      <c r="N90" s="50">
        <f>123+157+2612</f>
        <v>2892</v>
      </c>
      <c r="O90" s="60">
        <v>21</v>
      </c>
      <c r="P90" s="60">
        <v>26</v>
      </c>
      <c r="Q90" s="50">
        <f t="shared" si="22"/>
        <v>-5</v>
      </c>
      <c r="R90" s="50">
        <f t="shared" si="23"/>
        <v>30005</v>
      </c>
      <c r="S90" s="50">
        <f t="shared" si="24"/>
        <v>439</v>
      </c>
      <c r="T90" s="50">
        <f t="shared" si="25"/>
        <v>524</v>
      </c>
      <c r="U90" s="50">
        <f t="shared" si="26"/>
        <v>-85</v>
      </c>
      <c r="V90" s="61"/>
      <c r="W90" s="61"/>
      <c r="X90" s="61"/>
      <c r="Y90" s="61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</row>
    <row r="91" spans="1:46" ht="12.75">
      <c r="A91" s="53" t="s">
        <v>29</v>
      </c>
      <c r="B91" s="50">
        <v>2697</v>
      </c>
      <c r="C91" s="60">
        <v>55</v>
      </c>
      <c r="D91" s="60">
        <v>43</v>
      </c>
      <c r="E91" s="50">
        <f t="shared" si="19"/>
        <v>12</v>
      </c>
      <c r="F91" s="50">
        <v>787</v>
      </c>
      <c r="G91" s="60">
        <v>29</v>
      </c>
      <c r="H91" s="60">
        <v>22</v>
      </c>
      <c r="I91" s="50">
        <f t="shared" si="20"/>
        <v>7</v>
      </c>
      <c r="J91" s="50">
        <f>131+19+2510</f>
        <v>2660</v>
      </c>
      <c r="K91" s="60">
        <f>77+5</f>
        <v>82</v>
      </c>
      <c r="L91" s="60">
        <f>5+105</f>
        <v>110</v>
      </c>
      <c r="M91" s="50">
        <f t="shared" si="21"/>
        <v>-28</v>
      </c>
      <c r="N91" s="50">
        <f>126+158+2608</f>
        <v>2892</v>
      </c>
      <c r="O91" s="60">
        <f>41+3+3</f>
        <v>47</v>
      </c>
      <c r="P91" s="60">
        <f>3+5+56</f>
        <v>64</v>
      </c>
      <c r="Q91" s="50">
        <f t="shared" si="22"/>
        <v>-17</v>
      </c>
      <c r="R91" s="50">
        <f t="shared" si="23"/>
        <v>29854</v>
      </c>
      <c r="S91" s="50">
        <f t="shared" si="24"/>
        <v>614</v>
      </c>
      <c r="T91" s="50">
        <f t="shared" si="25"/>
        <v>960</v>
      </c>
      <c r="U91" s="50">
        <f t="shared" si="26"/>
        <v>-346</v>
      </c>
      <c r="V91" s="61"/>
      <c r="W91" s="61"/>
      <c r="X91" s="61"/>
      <c r="Y91" s="61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</row>
    <row r="92" spans="1:46" ht="12.75">
      <c r="A92" s="53" t="s">
        <v>22</v>
      </c>
      <c r="B92" s="50">
        <v>2771</v>
      </c>
      <c r="C92" s="60">
        <v>44</v>
      </c>
      <c r="D92" s="60">
        <v>19</v>
      </c>
      <c r="E92" s="50">
        <f t="shared" si="19"/>
        <v>25</v>
      </c>
      <c r="F92" s="50">
        <v>803</v>
      </c>
      <c r="G92" s="60">
        <v>26</v>
      </c>
      <c r="H92" s="60">
        <v>4</v>
      </c>
      <c r="I92" s="50">
        <f t="shared" si="20"/>
        <v>22</v>
      </c>
      <c r="J92" s="50">
        <f>135+21+2551</f>
        <v>2707</v>
      </c>
      <c r="K92" s="60">
        <v>40</v>
      </c>
      <c r="L92" s="60">
        <v>29</v>
      </c>
      <c r="M92" s="50">
        <f t="shared" si="21"/>
        <v>11</v>
      </c>
      <c r="N92" s="50">
        <f>127+165+2629</f>
        <v>2921</v>
      </c>
      <c r="O92" s="60">
        <v>28</v>
      </c>
      <c r="P92" s="60">
        <v>28</v>
      </c>
      <c r="Q92" s="50">
        <f t="shared" si="22"/>
        <v>0</v>
      </c>
      <c r="R92" s="50">
        <f t="shared" si="23"/>
        <v>30257</v>
      </c>
      <c r="S92" s="50">
        <f t="shared" si="24"/>
        <v>531</v>
      </c>
      <c r="T92" s="50">
        <f t="shared" si="25"/>
        <v>328</v>
      </c>
      <c r="U92" s="50">
        <f t="shared" si="26"/>
        <v>203</v>
      </c>
      <c r="V92" s="61"/>
      <c r="W92" s="61"/>
      <c r="X92" s="61"/>
      <c r="Y92" s="61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</row>
    <row r="93" spans="1:46" ht="12.75">
      <c r="A93" s="53" t="s">
        <v>23</v>
      </c>
      <c r="B93" s="50">
        <v>2851</v>
      </c>
      <c r="C93" s="60">
        <v>38</v>
      </c>
      <c r="D93" s="60">
        <v>21</v>
      </c>
      <c r="E93" s="50">
        <f t="shared" si="19"/>
        <v>17</v>
      </c>
      <c r="F93" s="50">
        <v>831</v>
      </c>
      <c r="G93" s="60">
        <v>20</v>
      </c>
      <c r="H93" s="60">
        <v>7</v>
      </c>
      <c r="I93" s="50">
        <f t="shared" si="20"/>
        <v>13</v>
      </c>
      <c r="J93" s="50">
        <f>147+21+2581</f>
        <v>2749</v>
      </c>
      <c r="K93" s="60">
        <v>47</v>
      </c>
      <c r="L93" s="60">
        <v>22</v>
      </c>
      <c r="M93" s="50">
        <f t="shared" si="21"/>
        <v>25</v>
      </c>
      <c r="N93" s="50">
        <f>129+166+2626</f>
        <v>2921</v>
      </c>
      <c r="O93" s="60">
        <v>17</v>
      </c>
      <c r="P93" s="60">
        <v>29</v>
      </c>
      <c r="Q93" s="50">
        <f t="shared" si="22"/>
        <v>-12</v>
      </c>
      <c r="R93" s="50">
        <f t="shared" si="23"/>
        <v>30538</v>
      </c>
      <c r="S93" s="50">
        <f t="shared" si="24"/>
        <v>452</v>
      </c>
      <c r="T93" s="50">
        <f t="shared" si="25"/>
        <v>339</v>
      </c>
      <c r="U93" s="50">
        <f t="shared" si="26"/>
        <v>113</v>
      </c>
      <c r="V93" s="61"/>
      <c r="W93" s="61"/>
      <c r="X93" s="61"/>
      <c r="Y93" s="61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</row>
    <row r="94" spans="1:46" ht="12.75">
      <c r="A94" s="53" t="s">
        <v>24</v>
      </c>
      <c r="B94" s="50">
        <v>2889</v>
      </c>
      <c r="C94" s="60">
        <v>51</v>
      </c>
      <c r="D94" s="60">
        <v>59</v>
      </c>
      <c r="E94" s="50">
        <f t="shared" si="19"/>
        <v>-8</v>
      </c>
      <c r="F94" s="50">
        <v>851</v>
      </c>
      <c r="G94" s="60">
        <v>20</v>
      </c>
      <c r="H94" s="60">
        <v>14</v>
      </c>
      <c r="I94" s="50">
        <f t="shared" si="20"/>
        <v>6</v>
      </c>
      <c r="J94" s="50">
        <v>2762</v>
      </c>
      <c r="K94" s="60">
        <v>40</v>
      </c>
      <c r="L94" s="60">
        <v>34</v>
      </c>
      <c r="M94" s="50">
        <f t="shared" si="21"/>
        <v>6</v>
      </c>
      <c r="N94" s="50">
        <v>2938</v>
      </c>
      <c r="O94" s="60">
        <v>29</v>
      </c>
      <c r="P94" s="60">
        <v>2</v>
      </c>
      <c r="Q94" s="50">
        <f t="shared" si="22"/>
        <v>27</v>
      </c>
      <c r="R94" s="50">
        <f t="shared" si="23"/>
        <v>30650</v>
      </c>
      <c r="S94" s="50">
        <f t="shared" si="24"/>
        <v>458</v>
      </c>
      <c r="T94" s="50">
        <f t="shared" si="25"/>
        <v>499</v>
      </c>
      <c r="U94" s="50">
        <f aca="true" t="shared" si="27" ref="U94:U110">S94-T94</f>
        <v>-41</v>
      </c>
      <c r="V94" s="61"/>
      <c r="W94" s="61"/>
      <c r="X94" s="61"/>
      <c r="Y94" s="61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</row>
    <row r="95" spans="1:46" ht="12.75">
      <c r="A95" s="53" t="s">
        <v>30</v>
      </c>
      <c r="B95" s="50">
        <v>3038</v>
      </c>
      <c r="C95" s="60">
        <v>67</v>
      </c>
      <c r="D95" s="60">
        <v>31</v>
      </c>
      <c r="E95" s="50">
        <f t="shared" si="19"/>
        <v>36</v>
      </c>
      <c r="F95" s="50">
        <v>872</v>
      </c>
      <c r="G95" s="60">
        <v>34</v>
      </c>
      <c r="H95" s="60">
        <v>28</v>
      </c>
      <c r="I95" s="50">
        <f t="shared" si="20"/>
        <v>6</v>
      </c>
      <c r="J95" s="50">
        <f>146+23+2596</f>
        <v>2765</v>
      </c>
      <c r="K95" s="60">
        <f>4+1+84</f>
        <v>89</v>
      </c>
      <c r="L95" s="60">
        <f>82+7</f>
        <v>89</v>
      </c>
      <c r="M95" s="50">
        <f t="shared" si="21"/>
        <v>0</v>
      </c>
      <c r="N95" s="50">
        <f>135+163+2602</f>
        <v>2900</v>
      </c>
      <c r="O95" s="60">
        <v>37</v>
      </c>
      <c r="P95" s="60">
        <f>4+2+56</f>
        <v>62</v>
      </c>
      <c r="Q95" s="50">
        <f t="shared" si="22"/>
        <v>-25</v>
      </c>
      <c r="R95" s="50">
        <f t="shared" si="23"/>
        <v>30735</v>
      </c>
      <c r="S95" s="50">
        <f t="shared" si="24"/>
        <v>686</v>
      </c>
      <c r="T95" s="50">
        <f t="shared" si="25"/>
        <v>789</v>
      </c>
      <c r="U95" s="50">
        <f t="shared" si="27"/>
        <v>-103</v>
      </c>
      <c r="V95" s="61"/>
      <c r="W95" s="61"/>
      <c r="X95" s="61"/>
      <c r="Y95" s="61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1:46" ht="12.75">
      <c r="A96" s="53" t="s">
        <v>22</v>
      </c>
      <c r="B96" s="50">
        <v>3134</v>
      </c>
      <c r="C96" s="60">
        <v>44</v>
      </c>
      <c r="D96" s="60">
        <v>25</v>
      </c>
      <c r="E96" s="50">
        <f t="shared" si="19"/>
        <v>19</v>
      </c>
      <c r="F96" s="50">
        <v>876</v>
      </c>
      <c r="G96" s="60">
        <v>20</v>
      </c>
      <c r="H96" s="60">
        <v>9</v>
      </c>
      <c r="I96" s="50">
        <f t="shared" si="20"/>
        <v>11</v>
      </c>
      <c r="J96" s="50">
        <f>150+23+2624</f>
        <v>2797</v>
      </c>
      <c r="K96" s="60">
        <f>2+59</f>
        <v>61</v>
      </c>
      <c r="L96" s="60">
        <f>35</f>
        <v>35</v>
      </c>
      <c r="M96" s="50">
        <f t="shared" si="21"/>
        <v>26</v>
      </c>
      <c r="N96" s="50">
        <f>139+167+2624</f>
        <v>2930</v>
      </c>
      <c r="O96" s="60">
        <v>30</v>
      </c>
      <c r="P96" s="60">
        <v>25</v>
      </c>
      <c r="Q96" s="50">
        <f t="shared" si="22"/>
        <v>5</v>
      </c>
      <c r="R96" s="50">
        <f t="shared" si="23"/>
        <v>31059</v>
      </c>
      <c r="S96" s="50">
        <f t="shared" si="24"/>
        <v>502</v>
      </c>
      <c r="T96" s="50">
        <f t="shared" si="25"/>
        <v>364</v>
      </c>
      <c r="U96" s="50">
        <f t="shared" si="27"/>
        <v>138</v>
      </c>
      <c r="V96" s="61"/>
      <c r="W96" s="61"/>
      <c r="X96" s="61"/>
      <c r="Y96" s="61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1:46" ht="12.75">
      <c r="A97" s="53" t="s">
        <v>23</v>
      </c>
      <c r="B97" s="50">
        <v>3203</v>
      </c>
      <c r="C97" s="60">
        <v>30</v>
      </c>
      <c r="D97" s="60">
        <v>13</v>
      </c>
      <c r="E97" s="50">
        <f t="shared" si="19"/>
        <v>17</v>
      </c>
      <c r="F97" s="50">
        <v>891</v>
      </c>
      <c r="G97" s="60">
        <v>12</v>
      </c>
      <c r="H97" s="60">
        <v>7</v>
      </c>
      <c r="I97" s="50">
        <f t="shared" si="20"/>
        <v>5</v>
      </c>
      <c r="J97" s="50">
        <f>150+24+2647</f>
        <v>2821</v>
      </c>
      <c r="K97" s="60">
        <f>3+39</f>
        <v>42</v>
      </c>
      <c r="L97" s="60">
        <v>37</v>
      </c>
      <c r="M97" s="50">
        <f t="shared" si="21"/>
        <v>5</v>
      </c>
      <c r="N97" s="50">
        <f>139+170+2622</f>
        <v>2931</v>
      </c>
      <c r="O97" s="60">
        <v>23</v>
      </c>
      <c r="P97" s="60">
        <v>27</v>
      </c>
      <c r="Q97" s="50">
        <f t="shared" si="22"/>
        <v>-4</v>
      </c>
      <c r="R97" s="50">
        <f t="shared" si="23"/>
        <v>31223</v>
      </c>
      <c r="S97" s="50">
        <f t="shared" si="24"/>
        <v>396</v>
      </c>
      <c r="T97" s="50">
        <f t="shared" si="25"/>
        <v>358</v>
      </c>
      <c r="U97" s="50">
        <f t="shared" si="27"/>
        <v>38</v>
      </c>
      <c r="V97" s="61"/>
      <c r="W97" s="61"/>
      <c r="X97" s="61"/>
      <c r="Y97" s="61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1:46" ht="12.75">
      <c r="A98" s="53" t="s">
        <v>24</v>
      </c>
      <c r="B98" s="50">
        <v>3285</v>
      </c>
      <c r="C98" s="60">
        <v>45</v>
      </c>
      <c r="D98" s="60">
        <v>37</v>
      </c>
      <c r="E98" s="50">
        <f t="shared" si="19"/>
        <v>8</v>
      </c>
      <c r="F98" s="50">
        <v>888</v>
      </c>
      <c r="G98" s="60">
        <v>17</v>
      </c>
      <c r="H98" s="60">
        <v>22</v>
      </c>
      <c r="I98" s="50">
        <f t="shared" si="20"/>
        <v>-5</v>
      </c>
      <c r="J98" s="50">
        <v>2846</v>
      </c>
      <c r="K98" s="60">
        <v>44</v>
      </c>
      <c r="L98" s="60">
        <v>41</v>
      </c>
      <c r="M98" s="50">
        <f t="shared" si="21"/>
        <v>3</v>
      </c>
      <c r="N98" s="50">
        <v>2964</v>
      </c>
      <c r="O98" s="60">
        <v>29</v>
      </c>
      <c r="P98" s="60">
        <v>26</v>
      </c>
      <c r="Q98" s="50">
        <f t="shared" si="22"/>
        <v>3</v>
      </c>
      <c r="R98" s="50">
        <f t="shared" si="23"/>
        <v>31390</v>
      </c>
      <c r="S98" s="50">
        <f t="shared" si="24"/>
        <v>400</v>
      </c>
      <c r="T98" s="50">
        <f t="shared" si="25"/>
        <v>419</v>
      </c>
      <c r="U98" s="50">
        <f t="shared" si="27"/>
        <v>-19</v>
      </c>
      <c r="V98" s="61"/>
      <c r="W98" s="61"/>
      <c r="X98" s="61"/>
      <c r="Y98" s="61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1:46" ht="12.75">
      <c r="A99" s="53" t="s">
        <v>31</v>
      </c>
      <c r="B99" s="50">
        <v>3326</v>
      </c>
      <c r="C99" s="60">
        <v>41</v>
      </c>
      <c r="D99" s="60">
        <v>48</v>
      </c>
      <c r="E99" s="50">
        <f t="shared" si="19"/>
        <v>-7</v>
      </c>
      <c r="F99" s="50">
        <v>903</v>
      </c>
      <c r="G99" s="60">
        <v>26</v>
      </c>
      <c r="H99" s="60">
        <v>16</v>
      </c>
      <c r="I99" s="50">
        <f t="shared" si="20"/>
        <v>10</v>
      </c>
      <c r="J99" s="50">
        <f>152+25+2665</f>
        <v>2842</v>
      </c>
      <c r="K99" s="60">
        <f>7+1+59</f>
        <v>67</v>
      </c>
      <c r="L99" s="60">
        <f>3+81</f>
        <v>84</v>
      </c>
      <c r="M99" s="50">
        <f t="shared" si="21"/>
        <v>-17</v>
      </c>
      <c r="N99" s="50">
        <f>140+174+2615</f>
        <v>2929</v>
      </c>
      <c r="O99" s="60">
        <f>1+32</f>
        <v>33</v>
      </c>
      <c r="P99" s="60">
        <v>63</v>
      </c>
      <c r="Q99" s="50">
        <f t="shared" si="22"/>
        <v>-30</v>
      </c>
      <c r="R99" s="50">
        <f t="shared" si="23"/>
        <v>31256</v>
      </c>
      <c r="S99" s="50">
        <f t="shared" si="24"/>
        <v>525</v>
      </c>
      <c r="T99" s="50">
        <f t="shared" si="25"/>
        <v>803</v>
      </c>
      <c r="U99" s="50">
        <f t="shared" si="27"/>
        <v>-278</v>
      </c>
      <c r="V99" s="61"/>
      <c r="W99" s="61"/>
      <c r="X99" s="61"/>
      <c r="Y99" s="61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1:46" ht="12.75">
      <c r="A100" s="53" t="s">
        <v>22</v>
      </c>
      <c r="B100" s="50">
        <v>3491</v>
      </c>
      <c r="C100" s="60">
        <v>35</v>
      </c>
      <c r="D100" s="60">
        <v>28</v>
      </c>
      <c r="E100" s="50">
        <f t="shared" si="19"/>
        <v>7</v>
      </c>
      <c r="F100" s="50">
        <v>900</v>
      </c>
      <c r="G100" s="60">
        <v>15</v>
      </c>
      <c r="H100" s="60">
        <v>7</v>
      </c>
      <c r="I100" s="50">
        <f t="shared" si="20"/>
        <v>8</v>
      </c>
      <c r="J100" s="50">
        <v>2841</v>
      </c>
      <c r="K100" s="60">
        <f>5+34</f>
        <v>39</v>
      </c>
      <c r="L100" s="60">
        <f>2+30</f>
        <v>32</v>
      </c>
      <c r="M100" s="50">
        <f t="shared" si="21"/>
        <v>7</v>
      </c>
      <c r="N100" s="50">
        <f>141+174+2642</f>
        <v>2957</v>
      </c>
      <c r="O100" s="60">
        <f>1+2+29</f>
        <v>32</v>
      </c>
      <c r="P100" s="60">
        <v>19</v>
      </c>
      <c r="Q100" s="50">
        <f t="shared" si="22"/>
        <v>13</v>
      </c>
      <c r="R100" s="50">
        <f t="shared" si="23"/>
        <v>31515</v>
      </c>
      <c r="S100" s="50">
        <f t="shared" si="24"/>
        <v>444</v>
      </c>
      <c r="T100" s="50">
        <f t="shared" si="25"/>
        <v>408</v>
      </c>
      <c r="U100" s="50">
        <f t="shared" si="27"/>
        <v>36</v>
      </c>
      <c r="V100" s="61"/>
      <c r="W100" s="61"/>
      <c r="X100" s="61"/>
      <c r="Y100" s="61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1:46" ht="12.75">
      <c r="A101" s="53" t="s">
        <v>23</v>
      </c>
      <c r="B101" s="50">
        <v>3559</v>
      </c>
      <c r="C101" s="60">
        <v>32</v>
      </c>
      <c r="D101" s="60">
        <v>29</v>
      </c>
      <c r="E101" s="50">
        <f t="shared" si="19"/>
        <v>3</v>
      </c>
      <c r="F101" s="50">
        <v>898</v>
      </c>
      <c r="G101" s="60">
        <v>9</v>
      </c>
      <c r="H101" s="60">
        <v>7</v>
      </c>
      <c r="I101" s="50">
        <f t="shared" si="20"/>
        <v>2</v>
      </c>
      <c r="J101" s="50">
        <v>2818</v>
      </c>
      <c r="K101" s="60">
        <v>30</v>
      </c>
      <c r="L101" s="60">
        <v>46</v>
      </c>
      <c r="M101" s="50">
        <f t="shared" si="21"/>
        <v>-16</v>
      </c>
      <c r="N101" s="50">
        <v>2960</v>
      </c>
      <c r="O101" s="60">
        <v>25</v>
      </c>
      <c r="P101" s="60">
        <v>31</v>
      </c>
      <c r="Q101" s="50">
        <f t="shared" si="22"/>
        <v>-6</v>
      </c>
      <c r="R101" s="50">
        <f t="shared" si="23"/>
        <v>31633</v>
      </c>
      <c r="S101" s="50">
        <f t="shared" si="24"/>
        <v>364</v>
      </c>
      <c r="T101" s="50">
        <f t="shared" si="25"/>
        <v>419</v>
      </c>
      <c r="U101" s="50">
        <f t="shared" si="27"/>
        <v>-55</v>
      </c>
      <c r="V101" s="61"/>
      <c r="W101" s="61"/>
      <c r="X101" s="61"/>
      <c r="Y101" s="61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</row>
    <row r="102" spans="1:46" ht="12.75">
      <c r="A102" s="53" t="s">
        <v>24</v>
      </c>
      <c r="B102" s="50">
        <v>3718</v>
      </c>
      <c r="C102" s="60">
        <v>47</v>
      </c>
      <c r="D102" s="60">
        <v>63</v>
      </c>
      <c r="E102" s="50">
        <f t="shared" si="19"/>
        <v>-16</v>
      </c>
      <c r="F102" s="50">
        <v>922</v>
      </c>
      <c r="G102" s="60">
        <v>16</v>
      </c>
      <c r="H102" s="60">
        <v>10</v>
      </c>
      <c r="I102" s="50">
        <f t="shared" si="20"/>
        <v>6</v>
      </c>
      <c r="J102" s="50">
        <v>2866</v>
      </c>
      <c r="K102" s="60">
        <v>48</v>
      </c>
      <c r="L102" s="60">
        <v>45</v>
      </c>
      <c r="M102" s="50">
        <f t="shared" si="21"/>
        <v>3</v>
      </c>
      <c r="N102" s="50">
        <v>3003</v>
      </c>
      <c r="O102" s="60">
        <v>33</v>
      </c>
      <c r="P102" s="60">
        <v>28</v>
      </c>
      <c r="Q102" s="50">
        <f t="shared" si="22"/>
        <v>5</v>
      </c>
      <c r="R102" s="50">
        <f t="shared" si="23"/>
        <v>32037</v>
      </c>
      <c r="S102" s="50">
        <f t="shared" si="24"/>
        <v>448</v>
      </c>
      <c r="T102" s="50">
        <f t="shared" si="25"/>
        <v>520</v>
      </c>
      <c r="U102" s="50">
        <f t="shared" si="27"/>
        <v>-72</v>
      </c>
      <c r="V102" s="61"/>
      <c r="W102" s="61"/>
      <c r="X102" s="61"/>
      <c r="Y102" s="61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</row>
    <row r="103" spans="1:46" ht="12.75">
      <c r="A103" s="53" t="s">
        <v>32</v>
      </c>
      <c r="B103" s="50">
        <v>3731</v>
      </c>
      <c r="C103" s="60">
        <v>47</v>
      </c>
      <c r="D103" s="60">
        <v>67</v>
      </c>
      <c r="E103" s="50">
        <f t="shared" si="19"/>
        <v>-20</v>
      </c>
      <c r="F103" s="50">
        <v>927</v>
      </c>
      <c r="G103" s="60">
        <v>24</v>
      </c>
      <c r="H103" s="60">
        <v>22</v>
      </c>
      <c r="I103" s="50">
        <f t="shared" si="20"/>
        <v>2</v>
      </c>
      <c r="J103" s="50">
        <f>170+25+2687</f>
        <v>2882</v>
      </c>
      <c r="K103" s="60">
        <f>8+68</f>
        <v>76</v>
      </c>
      <c r="L103" s="60">
        <f>7+1+75</f>
        <v>83</v>
      </c>
      <c r="M103" s="50">
        <f t="shared" si="21"/>
        <v>-7</v>
      </c>
      <c r="N103" s="50">
        <v>2995</v>
      </c>
      <c r="O103" s="60">
        <f>1+2+39</f>
        <v>42</v>
      </c>
      <c r="P103" s="60">
        <f>4+3+53</f>
        <v>60</v>
      </c>
      <c r="Q103" s="50">
        <f t="shared" si="22"/>
        <v>-18</v>
      </c>
      <c r="R103" s="50">
        <f t="shared" si="23"/>
        <v>31895</v>
      </c>
      <c r="S103" s="50">
        <f t="shared" si="24"/>
        <v>593</v>
      </c>
      <c r="T103" s="50">
        <f t="shared" si="25"/>
        <v>899</v>
      </c>
      <c r="U103" s="50">
        <f t="shared" si="27"/>
        <v>-306</v>
      </c>
      <c r="V103" s="61"/>
      <c r="W103" s="61"/>
      <c r="X103" s="61"/>
      <c r="Y103" s="61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</row>
    <row r="104" spans="1:46" ht="12.75">
      <c r="A104" s="53" t="s">
        <v>22</v>
      </c>
      <c r="B104" s="60">
        <v>3818</v>
      </c>
      <c r="C104" s="61">
        <v>40</v>
      </c>
      <c r="D104" s="61">
        <v>29</v>
      </c>
      <c r="E104" s="61">
        <f t="shared" si="19"/>
        <v>11</v>
      </c>
      <c r="F104" s="61">
        <v>940</v>
      </c>
      <c r="G104" s="61">
        <v>14</v>
      </c>
      <c r="H104" s="61">
        <v>6</v>
      </c>
      <c r="I104" s="61">
        <f t="shared" si="20"/>
        <v>8</v>
      </c>
      <c r="J104" s="60">
        <v>2913</v>
      </c>
      <c r="K104" s="61">
        <v>39</v>
      </c>
      <c r="L104" s="61">
        <v>26</v>
      </c>
      <c r="M104" s="50">
        <f t="shared" si="21"/>
        <v>13</v>
      </c>
      <c r="N104" s="60">
        <v>3019</v>
      </c>
      <c r="O104" s="61">
        <v>31</v>
      </c>
      <c r="P104" s="61">
        <v>22</v>
      </c>
      <c r="Q104" s="50">
        <f t="shared" si="22"/>
        <v>9</v>
      </c>
      <c r="R104" s="50">
        <f t="shared" si="23"/>
        <v>32280</v>
      </c>
      <c r="S104" s="50">
        <f t="shared" si="24"/>
        <v>449</v>
      </c>
      <c r="T104" s="50">
        <f t="shared" si="25"/>
        <v>331</v>
      </c>
      <c r="U104" s="50">
        <f t="shared" si="27"/>
        <v>118</v>
      </c>
      <c r="V104" s="61"/>
      <c r="W104" s="61"/>
      <c r="X104" s="61"/>
      <c r="Y104" s="61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</row>
    <row r="105" spans="1:46" ht="12.75">
      <c r="A105" s="53" t="s">
        <v>23</v>
      </c>
      <c r="B105" s="60">
        <v>3857</v>
      </c>
      <c r="C105" s="61">
        <v>25</v>
      </c>
      <c r="D105" s="61">
        <v>22</v>
      </c>
      <c r="E105" s="61">
        <f t="shared" si="19"/>
        <v>3</v>
      </c>
      <c r="F105" s="61">
        <v>950</v>
      </c>
      <c r="G105" s="61">
        <v>9</v>
      </c>
      <c r="H105" s="61">
        <v>4</v>
      </c>
      <c r="I105" s="61">
        <f t="shared" si="20"/>
        <v>5</v>
      </c>
      <c r="J105" s="60">
        <v>2921</v>
      </c>
      <c r="K105" s="61">
        <v>29</v>
      </c>
      <c r="L105" s="61">
        <v>26</v>
      </c>
      <c r="M105" s="50">
        <f t="shared" si="21"/>
        <v>3</v>
      </c>
      <c r="N105" s="60">
        <v>3023</v>
      </c>
      <c r="O105" s="61">
        <v>18</v>
      </c>
      <c r="P105" s="61">
        <v>24</v>
      </c>
      <c r="Q105" s="50">
        <f t="shared" si="22"/>
        <v>-6</v>
      </c>
      <c r="R105" s="50">
        <f t="shared" si="23"/>
        <v>32332</v>
      </c>
      <c r="S105" s="50">
        <f t="shared" si="24"/>
        <v>290</v>
      </c>
      <c r="T105" s="50">
        <f t="shared" si="25"/>
        <v>329</v>
      </c>
      <c r="U105" s="50">
        <f t="shared" si="27"/>
        <v>-39</v>
      </c>
      <c r="V105" s="61"/>
      <c r="W105" s="61"/>
      <c r="X105" s="61"/>
      <c r="Y105" s="61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58"/>
      <c r="AR105" s="58"/>
      <c r="AS105" s="58"/>
      <c r="AT105" s="35"/>
    </row>
    <row r="106" spans="1:46" ht="12.75">
      <c r="A106" s="53" t="s">
        <v>24</v>
      </c>
      <c r="B106" s="60">
        <v>3876</v>
      </c>
      <c r="C106" s="61">
        <v>36</v>
      </c>
      <c r="D106" s="61">
        <v>50</v>
      </c>
      <c r="E106" s="61">
        <f t="shared" si="19"/>
        <v>-14</v>
      </c>
      <c r="F106" s="61">
        <v>944</v>
      </c>
      <c r="G106" s="61">
        <v>14</v>
      </c>
      <c r="H106" s="61">
        <v>19</v>
      </c>
      <c r="I106" s="61">
        <f t="shared" si="20"/>
        <v>-5</v>
      </c>
      <c r="J106" s="60">
        <v>2923</v>
      </c>
      <c r="K106" s="61">
        <v>37</v>
      </c>
      <c r="L106" s="61">
        <v>45</v>
      </c>
      <c r="M106" s="50">
        <f t="shared" si="21"/>
        <v>-8</v>
      </c>
      <c r="N106" s="60">
        <v>3024</v>
      </c>
      <c r="O106" s="61">
        <v>28</v>
      </c>
      <c r="P106" s="61">
        <v>39</v>
      </c>
      <c r="Q106" s="50">
        <f t="shared" si="22"/>
        <v>-11</v>
      </c>
      <c r="R106" s="50">
        <f t="shared" si="23"/>
        <v>32379</v>
      </c>
      <c r="S106" s="50">
        <f t="shared" si="24"/>
        <v>436</v>
      </c>
      <c r="T106" s="50">
        <f t="shared" si="25"/>
        <v>484</v>
      </c>
      <c r="U106" s="50">
        <f t="shared" si="27"/>
        <v>-48</v>
      </c>
      <c r="V106" s="61"/>
      <c r="W106" s="61"/>
      <c r="X106" s="61"/>
      <c r="Y106" s="61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58"/>
      <c r="AR106" s="58"/>
      <c r="AS106" s="58"/>
      <c r="AT106" s="35"/>
    </row>
    <row r="107" spans="1:46" ht="12.75">
      <c r="A107" s="53" t="s">
        <v>61</v>
      </c>
      <c r="B107" s="60">
        <v>3992</v>
      </c>
      <c r="C107" s="61">
        <v>56</v>
      </c>
      <c r="D107" s="61">
        <v>54</v>
      </c>
      <c r="E107" s="61">
        <f t="shared" si="19"/>
        <v>2</v>
      </c>
      <c r="F107" s="61">
        <v>941</v>
      </c>
      <c r="G107" s="61">
        <v>28</v>
      </c>
      <c r="H107" s="61">
        <v>30</v>
      </c>
      <c r="I107" s="61">
        <f t="shared" si="20"/>
        <v>-2</v>
      </c>
      <c r="J107" s="60">
        <v>3015</v>
      </c>
      <c r="K107" s="61">
        <v>77</v>
      </c>
      <c r="L107" s="61">
        <v>94</v>
      </c>
      <c r="M107" s="50">
        <f t="shared" si="21"/>
        <v>-17</v>
      </c>
      <c r="N107" s="60">
        <v>3065</v>
      </c>
      <c r="O107" s="61">
        <v>42</v>
      </c>
      <c r="P107" s="61">
        <v>71</v>
      </c>
      <c r="Q107" s="50">
        <f t="shared" si="22"/>
        <v>-29</v>
      </c>
      <c r="R107" s="50">
        <f t="shared" si="23"/>
        <v>32475</v>
      </c>
      <c r="S107" s="50">
        <f t="shared" si="24"/>
        <v>648</v>
      </c>
      <c r="T107" s="50">
        <f t="shared" si="25"/>
        <v>835</v>
      </c>
      <c r="U107" s="50">
        <f t="shared" si="27"/>
        <v>-187</v>
      </c>
      <c r="V107" s="61"/>
      <c r="W107" s="61"/>
      <c r="X107" s="61"/>
      <c r="Y107" s="61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58"/>
      <c r="AR107" s="58"/>
      <c r="AS107" s="58"/>
      <c r="AT107" s="35"/>
    </row>
    <row r="108" spans="1:46" ht="12.75">
      <c r="A108" s="53" t="s">
        <v>22</v>
      </c>
      <c r="B108" s="60">
        <v>4109</v>
      </c>
      <c r="C108" s="60">
        <v>55</v>
      </c>
      <c r="D108" s="60">
        <v>26</v>
      </c>
      <c r="E108" s="60">
        <f t="shared" si="19"/>
        <v>29</v>
      </c>
      <c r="F108" s="60">
        <v>953</v>
      </c>
      <c r="G108" s="60">
        <v>16</v>
      </c>
      <c r="H108" s="60">
        <v>15</v>
      </c>
      <c r="I108" s="60">
        <f t="shared" si="20"/>
        <v>1</v>
      </c>
      <c r="J108" s="60">
        <v>3084</v>
      </c>
      <c r="K108" s="60">
        <v>69</v>
      </c>
      <c r="L108" s="60">
        <v>35</v>
      </c>
      <c r="M108" s="60">
        <f t="shared" si="21"/>
        <v>34</v>
      </c>
      <c r="N108" s="60">
        <v>3084</v>
      </c>
      <c r="O108" s="60">
        <v>37</v>
      </c>
      <c r="P108" s="60">
        <v>43</v>
      </c>
      <c r="Q108" s="60">
        <f t="shared" si="22"/>
        <v>-6</v>
      </c>
      <c r="R108" s="50">
        <f t="shared" si="23"/>
        <v>32899</v>
      </c>
      <c r="S108" s="50">
        <f t="shared" si="24"/>
        <v>570</v>
      </c>
      <c r="T108" s="50">
        <f t="shared" si="25"/>
        <v>413</v>
      </c>
      <c r="U108" s="60">
        <f t="shared" si="27"/>
        <v>157</v>
      </c>
      <c r="V108" s="61"/>
      <c r="W108" s="61"/>
      <c r="X108" s="61"/>
      <c r="Y108" s="61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58"/>
      <c r="AR108" s="58"/>
      <c r="AS108" s="58"/>
      <c r="AT108" s="35"/>
    </row>
    <row r="109" spans="1:46" ht="12.75">
      <c r="A109" s="53" t="s">
        <v>23</v>
      </c>
      <c r="B109" s="60">
        <v>4206</v>
      </c>
      <c r="C109" s="60">
        <v>46</v>
      </c>
      <c r="D109" s="60">
        <v>27</v>
      </c>
      <c r="E109" s="60">
        <f t="shared" si="19"/>
        <v>19</v>
      </c>
      <c r="F109" s="60">
        <v>956</v>
      </c>
      <c r="G109" s="60">
        <v>11</v>
      </c>
      <c r="H109" s="60">
        <v>16</v>
      </c>
      <c r="I109" s="60">
        <f t="shared" si="20"/>
        <v>-5</v>
      </c>
      <c r="J109" s="60">
        <v>3125</v>
      </c>
      <c r="K109" s="60">
        <v>55</v>
      </c>
      <c r="L109" s="60">
        <v>32</v>
      </c>
      <c r="M109" s="60">
        <f t="shared" si="21"/>
        <v>23</v>
      </c>
      <c r="N109" s="60">
        <v>3090</v>
      </c>
      <c r="O109" s="60">
        <v>29</v>
      </c>
      <c r="P109" s="60">
        <v>35</v>
      </c>
      <c r="Q109" s="60">
        <f t="shared" si="22"/>
        <v>-6</v>
      </c>
      <c r="R109" s="50">
        <f t="shared" si="23"/>
        <v>33212</v>
      </c>
      <c r="S109" s="50">
        <f t="shared" si="24"/>
        <v>485</v>
      </c>
      <c r="T109" s="50">
        <f t="shared" si="25"/>
        <v>409</v>
      </c>
      <c r="U109" s="60">
        <f t="shared" si="27"/>
        <v>76</v>
      </c>
      <c r="V109" s="61"/>
      <c r="W109" s="61"/>
      <c r="X109" s="61"/>
      <c r="Y109" s="61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58"/>
      <c r="AR109" s="58"/>
      <c r="AS109" s="58"/>
      <c r="AT109" s="35"/>
    </row>
    <row r="110" spans="1:46" ht="12.75">
      <c r="A110" s="53" t="s">
        <v>24</v>
      </c>
      <c r="B110" s="60">
        <v>4257</v>
      </c>
      <c r="C110" s="60">
        <v>54</v>
      </c>
      <c r="D110" s="60">
        <v>70</v>
      </c>
      <c r="E110" s="60">
        <f t="shared" si="19"/>
        <v>-16</v>
      </c>
      <c r="F110" s="60">
        <v>953</v>
      </c>
      <c r="G110" s="60">
        <v>13</v>
      </c>
      <c r="H110" s="60">
        <v>20</v>
      </c>
      <c r="I110" s="60">
        <f t="shared" si="20"/>
        <v>-7</v>
      </c>
      <c r="J110" s="60">
        <v>3144</v>
      </c>
      <c r="K110" s="60">
        <v>43</v>
      </c>
      <c r="L110" s="60">
        <v>53</v>
      </c>
      <c r="M110" s="60">
        <f t="shared" si="21"/>
        <v>-10</v>
      </c>
      <c r="N110" s="60">
        <v>3090</v>
      </c>
      <c r="O110" s="60">
        <v>30</v>
      </c>
      <c r="P110" s="60">
        <v>40</v>
      </c>
      <c r="Q110" s="60">
        <f t="shared" si="22"/>
        <v>-10</v>
      </c>
      <c r="R110" s="50">
        <f t="shared" si="23"/>
        <v>33289</v>
      </c>
      <c r="S110" s="50">
        <f t="shared" si="24"/>
        <v>446</v>
      </c>
      <c r="T110" s="50">
        <f t="shared" si="25"/>
        <v>516</v>
      </c>
      <c r="U110" s="60">
        <f t="shared" si="27"/>
        <v>-70</v>
      </c>
      <c r="V110" s="61"/>
      <c r="W110" s="61"/>
      <c r="X110" s="61"/>
      <c r="Y110" s="61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58"/>
      <c r="AR110" s="58"/>
      <c r="AS110" s="58"/>
      <c r="AT110" s="35"/>
    </row>
    <row r="111" spans="1:46" ht="12.75">
      <c r="A111" s="53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1"/>
      <c r="W111" s="61"/>
      <c r="X111" s="61"/>
      <c r="Y111" s="61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58"/>
      <c r="AR111" s="58"/>
      <c r="AS111" s="58"/>
      <c r="AT111" s="35"/>
    </row>
    <row r="112" spans="1:46" ht="12.75">
      <c r="A112" s="35" t="s">
        <v>38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</row>
    <row r="113" spans="1:46" ht="12.75">
      <c r="A113" s="35" t="s">
        <v>39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</row>
    <row r="114" spans="2:25" ht="12.7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</row>
    <row r="115" spans="2:25" ht="12.7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2:25" ht="12.7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</row>
    <row r="117" spans="2:25" ht="12.7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</row>
    <row r="118" spans="2:25" ht="12.7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</row>
    <row r="119" spans="2:25" ht="12.7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</row>
    <row r="120" spans="2:25" ht="12.7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</row>
    <row r="121" spans="2:25" ht="12.7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</row>
    <row r="122" spans="2:25" ht="12.7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</row>
  </sheetData>
  <sheetProtection/>
  <mergeCells count="5">
    <mergeCell ref="R58:U58"/>
    <mergeCell ref="B58:E58"/>
    <mergeCell ref="F58:I58"/>
    <mergeCell ref="J58:M58"/>
    <mergeCell ref="N58:Q58"/>
  </mergeCells>
  <printOptions/>
  <pageMargins left="0.21" right="0.27" top="0.5905511811023623" bottom="0.1968503937007874" header="0.11811023622047245" footer="0.11811023622047245"/>
  <pageSetup fitToHeight="1" fitToWidth="1" horizontalDpi="300" verticalDpi="300" orientation="portrait" paperSize="9" scale="54" r:id="rId1"/>
  <headerFooter alignWithMargins="0">
    <oddFooter>&amp;C&amp;F&amp;RPagina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1"/>
  <sheetViews>
    <sheetView showGridLines="0" zoomScale="75" zoomScaleNormal="75" zoomScalePageLayoutView="0" workbookViewId="0" topLeftCell="A7">
      <selection activeCell="A45" sqref="A45:B45"/>
    </sheetView>
  </sheetViews>
  <sheetFormatPr defaultColWidth="9.140625" defaultRowHeight="12.75"/>
  <cols>
    <col min="1" max="1" width="12.140625" style="0" customWidth="1"/>
    <col min="2" max="2" width="5.7109375" style="0" customWidth="1"/>
    <col min="3" max="3" width="8.140625" style="0" customWidth="1"/>
    <col min="4" max="4" width="9.7109375" style="0" customWidth="1"/>
    <col min="5" max="5" width="5.7109375" style="0" customWidth="1"/>
    <col min="6" max="6" width="6.8515625" style="0" customWidth="1"/>
    <col min="7" max="7" width="8.140625" style="0" customWidth="1"/>
    <col min="8" max="8" width="9.7109375" style="0" customWidth="1"/>
    <col min="9" max="10" width="5.7109375" style="0" customWidth="1"/>
    <col min="11" max="11" width="8.140625" style="0" customWidth="1"/>
    <col min="12" max="12" width="9.7109375" style="0" customWidth="1"/>
    <col min="13" max="14" width="5.7109375" style="0" customWidth="1"/>
    <col min="15" max="15" width="8.140625" style="0" customWidth="1"/>
    <col min="16" max="16" width="9.7109375" style="0" customWidth="1"/>
    <col min="17" max="18" width="5.7109375" style="0" customWidth="1"/>
    <col min="19" max="19" width="8.140625" style="0" customWidth="1"/>
    <col min="20" max="20" width="9.7109375" style="0" customWidth="1"/>
    <col min="21" max="22" width="5.7109375" style="0" customWidth="1"/>
    <col min="23" max="23" width="8.140625" style="0" customWidth="1"/>
    <col min="24" max="24" width="9.7109375" style="0" customWidth="1"/>
    <col min="25" max="26" width="5.7109375" style="0" customWidth="1"/>
    <col min="27" max="27" width="8.140625" style="0" customWidth="1"/>
    <col min="28" max="28" width="9.7109375" style="0" customWidth="1"/>
    <col min="29" max="30" width="5.7109375" style="0" customWidth="1"/>
    <col min="31" max="31" width="8.140625" style="0" customWidth="1"/>
    <col min="32" max="32" width="9.7109375" style="0" customWidth="1"/>
    <col min="33" max="34" width="5.7109375" style="0" customWidth="1"/>
    <col min="35" max="35" width="8.140625" style="0" customWidth="1"/>
    <col min="36" max="36" width="9.7109375" style="0" customWidth="1"/>
    <col min="37" max="37" width="5.7109375" style="0" customWidth="1"/>
    <col min="38" max="38" width="6.57421875" style="0" customWidth="1"/>
    <col min="39" max="39" width="8.140625" style="0" customWidth="1"/>
    <col min="40" max="40" width="9.7109375" style="0" customWidth="1"/>
    <col min="41" max="41" width="5.7109375" style="0" customWidth="1"/>
  </cols>
  <sheetData>
    <row r="1" spans="1:23" ht="12.75">
      <c r="A1" s="24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31"/>
      <c r="S1" s="31"/>
      <c r="T1" s="31"/>
      <c r="U1" s="21"/>
      <c r="V1" s="21"/>
      <c r="W1" s="21"/>
    </row>
    <row r="2" spans="1:23" ht="13.5" thickBot="1">
      <c r="A2" s="27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31"/>
      <c r="S2" s="31"/>
      <c r="T2" s="31"/>
      <c r="U2" s="21"/>
      <c r="V2" s="21"/>
      <c r="W2" s="21"/>
    </row>
    <row r="3" spans="18:20" ht="13.5" customHeight="1">
      <c r="R3" s="32"/>
      <c r="S3" s="32"/>
      <c r="T3" s="32"/>
    </row>
    <row r="4" spans="1:42" ht="13.5" customHeight="1">
      <c r="A4" s="13" t="s">
        <v>1</v>
      </c>
      <c r="B4" s="14" t="s">
        <v>42</v>
      </c>
      <c r="C4" s="15"/>
      <c r="D4" s="15"/>
      <c r="E4" s="16"/>
      <c r="F4" s="14" t="s">
        <v>43</v>
      </c>
      <c r="G4" s="15"/>
      <c r="H4" s="15"/>
      <c r="I4" s="16"/>
      <c r="J4" s="14" t="s">
        <v>44</v>
      </c>
      <c r="K4" s="15"/>
      <c r="L4" s="15"/>
      <c r="M4" s="16"/>
      <c r="N4" s="18" t="s">
        <v>45</v>
      </c>
      <c r="O4" s="19"/>
      <c r="P4" s="20"/>
      <c r="Q4" s="22"/>
      <c r="R4" s="32"/>
      <c r="S4" s="32"/>
      <c r="T4" s="32"/>
      <c r="AP4" s="1"/>
    </row>
    <row r="5" spans="1:41" s="4" customFormat="1" ht="24" customHeight="1">
      <c r="A5" s="17"/>
      <c r="B5" s="2" t="s">
        <v>8</v>
      </c>
      <c r="C5" s="3" t="s">
        <v>46</v>
      </c>
      <c r="D5" s="3" t="s">
        <v>47</v>
      </c>
      <c r="E5" s="7" t="s">
        <v>11</v>
      </c>
      <c r="F5" s="2" t="s">
        <v>8</v>
      </c>
      <c r="G5" s="3" t="s">
        <v>46</v>
      </c>
      <c r="H5" s="3" t="s">
        <v>47</v>
      </c>
      <c r="I5" s="7" t="s">
        <v>11</v>
      </c>
      <c r="J5" s="2" t="s">
        <v>8</v>
      </c>
      <c r="K5" s="3" t="s">
        <v>46</v>
      </c>
      <c r="L5" s="3" t="s">
        <v>47</v>
      </c>
      <c r="M5" s="7" t="s">
        <v>11</v>
      </c>
      <c r="N5" s="2" t="s">
        <v>8</v>
      </c>
      <c r="O5" s="3" t="s">
        <v>46</v>
      </c>
      <c r="P5" s="3" t="s">
        <v>47</v>
      </c>
      <c r="Q5" s="7" t="s">
        <v>11</v>
      </c>
      <c r="R5" s="32"/>
      <c r="S5" s="32"/>
      <c r="T5" s="32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5" customFormat="1" ht="12.75">
      <c r="A6" s="8" t="s">
        <v>48</v>
      </c>
      <c r="B6" s="9">
        <v>2151</v>
      </c>
      <c r="C6" s="9">
        <v>183</v>
      </c>
      <c r="D6" s="9">
        <v>151</v>
      </c>
      <c r="E6" s="9">
        <f>C6-D6</f>
        <v>32</v>
      </c>
      <c r="F6" s="9">
        <v>3156</v>
      </c>
      <c r="G6" s="9">
        <v>473</v>
      </c>
      <c r="H6" s="9">
        <v>499</v>
      </c>
      <c r="I6" s="9">
        <f>G6-H6</f>
        <v>-26</v>
      </c>
      <c r="J6" s="9">
        <v>8014</v>
      </c>
      <c r="K6" s="9">
        <v>538</v>
      </c>
      <c r="L6" s="9">
        <v>672</v>
      </c>
      <c r="M6" s="9">
        <f>K6-L6</f>
        <v>-134</v>
      </c>
      <c r="N6" s="9">
        <v>2023</v>
      </c>
      <c r="O6" s="9">
        <v>303</v>
      </c>
      <c r="P6" s="9">
        <v>224</v>
      </c>
      <c r="Q6" s="9">
        <f>O6-P6</f>
        <v>79</v>
      </c>
      <c r="R6" s="32"/>
      <c r="S6" s="32"/>
      <c r="T6" s="32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5" customFormat="1" ht="12.75">
      <c r="A7" s="8" t="s">
        <v>49</v>
      </c>
      <c r="B7" s="9">
        <v>2109</v>
      </c>
      <c r="C7" s="9">
        <v>214</v>
      </c>
      <c r="D7" s="9">
        <v>209</v>
      </c>
      <c r="E7" s="9">
        <f>C7-D7</f>
        <v>5</v>
      </c>
      <c r="F7" s="9">
        <v>3430</v>
      </c>
      <c r="G7" s="9">
        <v>541</v>
      </c>
      <c r="H7" s="9">
        <v>517</v>
      </c>
      <c r="I7" s="9">
        <f>G7-H7</f>
        <v>24</v>
      </c>
      <c r="J7" s="9">
        <v>7844</v>
      </c>
      <c r="K7" s="9">
        <v>595</v>
      </c>
      <c r="L7" s="9">
        <v>788</v>
      </c>
      <c r="M7" s="9">
        <f>K7-L7</f>
        <v>-193</v>
      </c>
      <c r="N7" s="9">
        <v>2066</v>
      </c>
      <c r="O7" s="9">
        <v>358</v>
      </c>
      <c r="P7" s="9">
        <v>301</v>
      </c>
      <c r="Q7" s="9">
        <f>O7-P7</f>
        <v>57</v>
      </c>
      <c r="R7" s="32"/>
      <c r="S7" s="32"/>
      <c r="T7" s="32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5" customFormat="1" ht="12.75">
      <c r="A8" s="8" t="s">
        <v>50</v>
      </c>
      <c r="B8" s="9">
        <v>2029</v>
      </c>
      <c r="C8" s="9">
        <v>200</v>
      </c>
      <c r="D8" s="9">
        <v>237</v>
      </c>
      <c r="E8" s="9">
        <f>C8-D8</f>
        <v>-37</v>
      </c>
      <c r="F8" s="9">
        <v>3317</v>
      </c>
      <c r="G8" s="9">
        <v>363</v>
      </c>
      <c r="H8" s="9">
        <v>479</v>
      </c>
      <c r="I8" s="9">
        <f>G8-H8</f>
        <v>-116</v>
      </c>
      <c r="J8" s="9">
        <v>7587</v>
      </c>
      <c r="K8" s="9">
        <v>550</v>
      </c>
      <c r="L8" s="9">
        <v>834</v>
      </c>
      <c r="M8" s="9">
        <f>K8-L8</f>
        <v>-284</v>
      </c>
      <c r="N8" s="9">
        <v>2088</v>
      </c>
      <c r="O8" s="9">
        <v>300</v>
      </c>
      <c r="P8" s="9">
        <v>267</v>
      </c>
      <c r="Q8" s="9">
        <f>O8-P8</f>
        <v>33</v>
      </c>
      <c r="R8" s="32"/>
      <c r="S8" s="32"/>
      <c r="T8" s="32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5" customFormat="1" ht="12.75">
      <c r="A9" s="8" t="s">
        <v>51</v>
      </c>
      <c r="B9" s="9">
        <f>B14</f>
        <v>1993</v>
      </c>
      <c r="C9" s="9">
        <f>SUM(C11:C14)</f>
        <v>196</v>
      </c>
      <c r="D9" s="9">
        <f>SUM(D11:D14)</f>
        <v>129</v>
      </c>
      <c r="E9" s="9">
        <f>C9-D9</f>
        <v>67</v>
      </c>
      <c r="F9" s="9">
        <f>F14</f>
        <v>3376</v>
      </c>
      <c r="G9" s="9">
        <f>SUM(G11:G14)</f>
        <v>371</v>
      </c>
      <c r="H9" s="9">
        <f>SUM(H11:H14)</f>
        <v>230</v>
      </c>
      <c r="I9" s="9">
        <f>G9-H9</f>
        <v>141</v>
      </c>
      <c r="J9" s="9">
        <f>J14</f>
        <v>7406</v>
      </c>
      <c r="K9" s="9">
        <f>SUM(K11:K14)</f>
        <v>431</v>
      </c>
      <c r="L9" s="9">
        <f>SUM(L11:L14)</f>
        <v>600</v>
      </c>
      <c r="M9" s="9">
        <f>K9-L9</f>
        <v>-169</v>
      </c>
      <c r="N9" s="9">
        <f>N14</f>
        <v>2124</v>
      </c>
      <c r="O9" s="9">
        <f>SUM(O11:O14)</f>
        <v>258</v>
      </c>
      <c r="P9" s="9">
        <f>SUM(P11:P14)</f>
        <v>183</v>
      </c>
      <c r="Q9" s="9">
        <f>O9-P9</f>
        <v>75</v>
      </c>
      <c r="R9" s="32"/>
      <c r="S9" s="32"/>
      <c r="T9" s="32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5" customFormat="1" ht="12.7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32"/>
      <c r="S10" s="32"/>
      <c r="T10" s="32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20" ht="12.75">
      <c r="A11" s="11" t="s">
        <v>52</v>
      </c>
      <c r="B11" s="12">
        <v>2001</v>
      </c>
      <c r="C11" s="12">
        <v>35</v>
      </c>
      <c r="D11" s="12">
        <v>54</v>
      </c>
      <c r="E11" s="9">
        <f>C11-D11</f>
        <v>-19</v>
      </c>
      <c r="F11" s="12">
        <v>3241</v>
      </c>
      <c r="G11" s="12">
        <v>64</v>
      </c>
      <c r="H11" s="12">
        <v>40</v>
      </c>
      <c r="I11" s="9">
        <f>G11-H11</f>
        <v>24</v>
      </c>
      <c r="J11" s="12">
        <v>7433</v>
      </c>
      <c r="K11" s="12">
        <v>103</v>
      </c>
      <c r="L11" s="12">
        <v>273</v>
      </c>
      <c r="M11" s="9">
        <f>K11-L11</f>
        <v>-170</v>
      </c>
      <c r="N11" s="12">
        <v>2101</v>
      </c>
      <c r="O11" s="12">
        <v>75</v>
      </c>
      <c r="P11" s="12">
        <v>71</v>
      </c>
      <c r="Q11" s="9">
        <f>O11-P11</f>
        <v>4</v>
      </c>
      <c r="R11" s="32"/>
      <c r="S11" s="32"/>
      <c r="T11" s="32"/>
    </row>
    <row r="12" spans="1:20" ht="12.75">
      <c r="A12" s="11" t="s">
        <v>22</v>
      </c>
      <c r="B12" s="12">
        <v>1998</v>
      </c>
      <c r="C12" s="12">
        <v>69</v>
      </c>
      <c r="D12" s="12">
        <v>27</v>
      </c>
      <c r="E12" s="9">
        <f>C12-D12</f>
        <v>42</v>
      </c>
      <c r="F12" s="12">
        <v>3313</v>
      </c>
      <c r="G12" s="12">
        <v>131</v>
      </c>
      <c r="H12" s="12">
        <v>61</v>
      </c>
      <c r="I12" s="9">
        <f>G12-H12</f>
        <v>70</v>
      </c>
      <c r="J12" s="12">
        <v>7419</v>
      </c>
      <c r="K12" s="12">
        <v>129</v>
      </c>
      <c r="L12" s="12">
        <v>111</v>
      </c>
      <c r="M12" s="9">
        <f>K12-L12</f>
        <v>18</v>
      </c>
      <c r="N12" s="12">
        <v>2105</v>
      </c>
      <c r="O12" s="12">
        <v>71</v>
      </c>
      <c r="P12" s="12">
        <v>36</v>
      </c>
      <c r="Q12" s="9">
        <f>O12-P12</f>
        <v>35</v>
      </c>
      <c r="R12" s="32"/>
      <c r="S12" s="32"/>
      <c r="T12" s="32"/>
    </row>
    <row r="13" spans="1:20" ht="12.75">
      <c r="A13" s="11" t="s">
        <v>23</v>
      </c>
      <c r="B13" s="12">
        <v>1991</v>
      </c>
      <c r="C13" s="12">
        <v>32</v>
      </c>
      <c r="D13" s="12">
        <v>22</v>
      </c>
      <c r="E13" s="9">
        <f>C13-D13</f>
        <v>10</v>
      </c>
      <c r="F13" s="12">
        <v>3345</v>
      </c>
      <c r="G13" s="12">
        <v>73</v>
      </c>
      <c r="H13" s="12">
        <v>41</v>
      </c>
      <c r="I13" s="9">
        <f>G13-H13</f>
        <v>32</v>
      </c>
      <c r="J13" s="12">
        <v>7404</v>
      </c>
      <c r="K13" s="12">
        <v>88</v>
      </c>
      <c r="L13" s="12">
        <v>99</v>
      </c>
      <c r="M13" s="9">
        <f>K13-L13</f>
        <v>-11</v>
      </c>
      <c r="N13" s="12">
        <v>2124</v>
      </c>
      <c r="O13" s="12">
        <v>38</v>
      </c>
      <c r="P13" s="12">
        <v>25</v>
      </c>
      <c r="Q13" s="9">
        <f>O13-P13</f>
        <v>13</v>
      </c>
      <c r="R13" s="32"/>
      <c r="S13" s="32"/>
      <c r="T13" s="32"/>
    </row>
    <row r="14" spans="1:20" ht="12.75">
      <c r="A14" s="11" t="s">
        <v>24</v>
      </c>
      <c r="B14" s="12">
        <v>1993</v>
      </c>
      <c r="C14" s="12">
        <v>60</v>
      </c>
      <c r="D14" s="12">
        <v>26</v>
      </c>
      <c r="E14" s="9">
        <f>C14-D14</f>
        <v>34</v>
      </c>
      <c r="F14" s="12">
        <v>3376</v>
      </c>
      <c r="G14" s="12">
        <v>103</v>
      </c>
      <c r="H14" s="12">
        <v>88</v>
      </c>
      <c r="I14" s="9">
        <f>G14-H14</f>
        <v>15</v>
      </c>
      <c r="J14" s="12">
        <v>7406</v>
      </c>
      <c r="K14" s="12">
        <v>111</v>
      </c>
      <c r="L14" s="12">
        <v>117</v>
      </c>
      <c r="M14" s="9">
        <f>K14-L14</f>
        <v>-6</v>
      </c>
      <c r="N14" s="12">
        <v>2124</v>
      </c>
      <c r="O14" s="12">
        <v>74</v>
      </c>
      <c r="P14" s="12">
        <v>51</v>
      </c>
      <c r="Q14" s="9">
        <f>O14-P14</f>
        <v>23</v>
      </c>
      <c r="R14" s="32"/>
      <c r="S14" s="32"/>
      <c r="T14" s="32"/>
    </row>
    <row r="15" spans="1:41" ht="12.75">
      <c r="A15" s="11"/>
      <c r="B15" s="12"/>
      <c r="C15" s="12"/>
      <c r="D15" s="12"/>
      <c r="E15" s="9"/>
      <c r="F15" s="12"/>
      <c r="G15" s="12"/>
      <c r="H15" s="12"/>
      <c r="I15" s="9"/>
      <c r="J15" s="12"/>
      <c r="K15" s="12"/>
      <c r="L15" s="12"/>
      <c r="M15" s="9"/>
      <c r="N15" s="12"/>
      <c r="O15" s="12"/>
      <c r="P15" s="12"/>
      <c r="Q15" s="9"/>
      <c r="R15" s="30"/>
      <c r="S15" s="30"/>
      <c r="T15" s="30"/>
      <c r="U15" s="9"/>
      <c r="V15" s="12"/>
      <c r="W15" s="12"/>
      <c r="X15" s="12"/>
      <c r="Y15" s="9"/>
      <c r="Z15" s="12"/>
      <c r="AA15" s="12"/>
      <c r="AB15" s="12"/>
      <c r="AC15" s="9"/>
      <c r="AD15" s="12"/>
      <c r="AE15" s="12"/>
      <c r="AF15" s="12"/>
      <c r="AG15" s="9"/>
      <c r="AH15" s="12"/>
      <c r="AI15" s="12"/>
      <c r="AJ15" s="12"/>
      <c r="AK15" s="9"/>
      <c r="AL15" s="9"/>
      <c r="AM15" s="9"/>
      <c r="AN15" s="9"/>
      <c r="AO15" s="9"/>
    </row>
    <row r="16" spans="1:41" ht="12.75">
      <c r="A16" s="13" t="s">
        <v>1</v>
      </c>
      <c r="B16" s="14" t="s">
        <v>53</v>
      </c>
      <c r="C16" s="15"/>
      <c r="D16" s="15"/>
      <c r="E16" s="16"/>
      <c r="F16" s="14" t="s">
        <v>54</v>
      </c>
      <c r="G16" s="15"/>
      <c r="H16" s="15"/>
      <c r="I16" s="16"/>
      <c r="J16" s="14" t="s">
        <v>55</v>
      </c>
      <c r="K16" s="15"/>
      <c r="L16" s="15"/>
      <c r="M16" s="15"/>
      <c r="N16" s="14" t="s">
        <v>56</v>
      </c>
      <c r="O16" s="15"/>
      <c r="P16" s="15"/>
      <c r="Q16" s="23"/>
      <c r="R16" s="30"/>
      <c r="S16" s="30"/>
      <c r="T16" s="30"/>
      <c r="U16" s="9"/>
      <c r="V16" s="12"/>
      <c r="W16" s="12"/>
      <c r="X16" s="12"/>
      <c r="Y16" s="9"/>
      <c r="Z16" s="12"/>
      <c r="AA16" s="12"/>
      <c r="AB16" s="12"/>
      <c r="AC16" s="9"/>
      <c r="AD16" s="12"/>
      <c r="AE16" s="12"/>
      <c r="AF16" s="12"/>
      <c r="AG16" s="9"/>
      <c r="AH16" s="12"/>
      <c r="AI16" s="12"/>
      <c r="AJ16" s="12"/>
      <c r="AK16" s="9"/>
      <c r="AL16" s="9"/>
      <c r="AM16" s="9"/>
      <c r="AN16" s="9"/>
      <c r="AO16" s="9"/>
    </row>
    <row r="17" spans="1:41" ht="12.75">
      <c r="A17" s="17"/>
      <c r="B17" s="2" t="s">
        <v>8</v>
      </c>
      <c r="C17" s="3" t="s">
        <v>46</v>
      </c>
      <c r="D17" s="3" t="s">
        <v>47</v>
      </c>
      <c r="E17" s="7" t="s">
        <v>11</v>
      </c>
      <c r="F17" s="2" t="s">
        <v>8</v>
      </c>
      <c r="G17" s="3" t="s">
        <v>46</v>
      </c>
      <c r="H17" s="3" t="s">
        <v>47</v>
      </c>
      <c r="I17" s="7" t="s">
        <v>11</v>
      </c>
      <c r="J17" s="2" t="s">
        <v>8</v>
      </c>
      <c r="K17" s="3" t="s">
        <v>46</v>
      </c>
      <c r="L17" s="3" t="s">
        <v>47</v>
      </c>
      <c r="M17" s="7" t="s">
        <v>11</v>
      </c>
      <c r="N17" s="2" t="s">
        <v>8</v>
      </c>
      <c r="O17" s="3" t="s">
        <v>46</v>
      </c>
      <c r="P17" s="3" t="s">
        <v>47</v>
      </c>
      <c r="Q17" s="7" t="s">
        <v>11</v>
      </c>
      <c r="R17" s="30"/>
      <c r="S17" s="30"/>
      <c r="T17" s="30"/>
      <c r="U17" s="9"/>
      <c r="V17" s="12"/>
      <c r="W17" s="12"/>
      <c r="X17" s="12"/>
      <c r="Y17" s="9"/>
      <c r="Z17" s="12"/>
      <c r="AA17" s="12"/>
      <c r="AB17" s="12"/>
      <c r="AC17" s="9"/>
      <c r="AD17" s="12"/>
      <c r="AE17" s="12"/>
      <c r="AF17" s="12"/>
      <c r="AG17" s="9"/>
      <c r="AH17" s="12"/>
      <c r="AI17" s="12"/>
      <c r="AJ17" s="12"/>
      <c r="AK17" s="9"/>
      <c r="AL17" s="9"/>
      <c r="AM17" s="9"/>
      <c r="AN17" s="9"/>
      <c r="AO17" s="9"/>
    </row>
    <row r="18" spans="1:41" ht="12.75">
      <c r="A18" s="8" t="s">
        <v>48</v>
      </c>
      <c r="B18" s="9">
        <v>1875</v>
      </c>
      <c r="C18" s="9">
        <v>70</v>
      </c>
      <c r="D18" s="9">
        <v>96</v>
      </c>
      <c r="E18" s="9">
        <f>C18-D18</f>
        <v>-26</v>
      </c>
      <c r="F18" s="9">
        <v>3149</v>
      </c>
      <c r="G18" s="9">
        <v>193</v>
      </c>
      <c r="H18" s="9">
        <v>230</v>
      </c>
      <c r="I18" s="9">
        <f>G18-H18</f>
        <v>-37</v>
      </c>
      <c r="J18" s="9">
        <v>602</v>
      </c>
      <c r="K18" s="9">
        <v>55</v>
      </c>
      <c r="L18" s="9">
        <v>33</v>
      </c>
      <c r="M18" s="9">
        <f>K18-L18</f>
        <v>22</v>
      </c>
      <c r="N18" s="9">
        <v>3879</v>
      </c>
      <c r="O18" s="9">
        <v>594</v>
      </c>
      <c r="P18" s="9">
        <v>343</v>
      </c>
      <c r="Q18" s="9">
        <f>O18-P18</f>
        <v>251</v>
      </c>
      <c r="R18" s="30"/>
      <c r="S18" s="30"/>
      <c r="T18" s="30"/>
      <c r="U18" s="9"/>
      <c r="V18" s="12"/>
      <c r="W18" s="12"/>
      <c r="X18" s="12"/>
      <c r="Y18" s="9"/>
      <c r="Z18" s="12"/>
      <c r="AA18" s="12"/>
      <c r="AB18" s="12"/>
      <c r="AC18" s="9"/>
      <c r="AD18" s="12"/>
      <c r="AE18" s="12"/>
      <c r="AF18" s="12"/>
      <c r="AG18" s="9"/>
      <c r="AH18" s="12"/>
      <c r="AI18" s="12"/>
      <c r="AJ18" s="12"/>
      <c r="AK18" s="9"/>
      <c r="AL18" s="9"/>
      <c r="AM18" s="9"/>
      <c r="AN18" s="9"/>
      <c r="AO18" s="9"/>
    </row>
    <row r="19" spans="1:41" ht="12.75">
      <c r="A19" s="8" t="s">
        <v>49</v>
      </c>
      <c r="B19" s="9">
        <v>1830</v>
      </c>
      <c r="C19" s="9">
        <v>78</v>
      </c>
      <c r="D19" s="9">
        <v>111</v>
      </c>
      <c r="E19" s="9">
        <f>C19-D19</f>
        <v>-33</v>
      </c>
      <c r="F19" s="9">
        <v>3083</v>
      </c>
      <c r="G19" s="9">
        <v>183</v>
      </c>
      <c r="H19" s="9">
        <v>246</v>
      </c>
      <c r="I19" s="9">
        <f>G19-H19</f>
        <v>-63</v>
      </c>
      <c r="J19" s="9">
        <v>558</v>
      </c>
      <c r="K19" s="9">
        <v>22</v>
      </c>
      <c r="L19" s="9">
        <v>47</v>
      </c>
      <c r="M19" s="9">
        <f>K19-L19</f>
        <v>-25</v>
      </c>
      <c r="N19" s="9">
        <v>4247</v>
      </c>
      <c r="O19" s="9">
        <v>602</v>
      </c>
      <c r="P19" s="9">
        <v>398</v>
      </c>
      <c r="Q19" s="9">
        <f>O19-P19</f>
        <v>204</v>
      </c>
      <c r="R19" s="30"/>
      <c r="S19" s="30"/>
      <c r="T19" s="30"/>
      <c r="U19" s="9"/>
      <c r="V19" s="12"/>
      <c r="W19" s="12"/>
      <c r="X19" s="12"/>
      <c r="Y19" s="9"/>
      <c r="Z19" s="12"/>
      <c r="AA19" s="12"/>
      <c r="AB19" s="12"/>
      <c r="AC19" s="9"/>
      <c r="AD19" s="12"/>
      <c r="AE19" s="12"/>
      <c r="AF19" s="12"/>
      <c r="AG19" s="9"/>
      <c r="AH19" s="12"/>
      <c r="AI19" s="12"/>
      <c r="AJ19" s="12"/>
      <c r="AK19" s="9"/>
      <c r="AL19" s="9"/>
      <c r="AM19" s="9"/>
      <c r="AN19" s="9"/>
      <c r="AO19" s="9"/>
    </row>
    <row r="20" spans="1:41" ht="12.75">
      <c r="A20" s="8" t="s">
        <v>50</v>
      </c>
      <c r="B20" s="9">
        <v>1746</v>
      </c>
      <c r="C20" s="9">
        <v>68</v>
      </c>
      <c r="D20" s="9">
        <v>152</v>
      </c>
      <c r="E20" s="9">
        <f>C20-D20</f>
        <v>-84</v>
      </c>
      <c r="F20" s="9">
        <v>2990</v>
      </c>
      <c r="G20" s="9">
        <v>214</v>
      </c>
      <c r="H20" s="9">
        <v>332</v>
      </c>
      <c r="I20" s="9">
        <f>G20-H20</f>
        <v>-118</v>
      </c>
      <c r="J20" s="9">
        <v>505</v>
      </c>
      <c r="K20" s="9">
        <v>19</v>
      </c>
      <c r="L20" s="9">
        <v>37</v>
      </c>
      <c r="M20" s="9">
        <f>K20-L20</f>
        <v>-18</v>
      </c>
      <c r="N20" s="9">
        <v>4363</v>
      </c>
      <c r="O20" s="9">
        <v>504</v>
      </c>
      <c r="P20" s="9">
        <v>443</v>
      </c>
      <c r="Q20" s="9">
        <f>O20-P20</f>
        <v>61</v>
      </c>
      <c r="R20" s="30"/>
      <c r="S20" s="30"/>
      <c r="T20" s="30"/>
      <c r="U20" s="9"/>
      <c r="V20" s="12"/>
      <c r="W20" s="12"/>
      <c r="X20" s="12"/>
      <c r="Y20" s="9"/>
      <c r="Z20" s="12"/>
      <c r="AA20" s="12"/>
      <c r="AB20" s="12"/>
      <c r="AC20" s="9"/>
      <c r="AD20" s="12"/>
      <c r="AE20" s="12"/>
      <c r="AF20" s="12"/>
      <c r="AG20" s="9"/>
      <c r="AH20" s="12"/>
      <c r="AI20" s="12"/>
      <c r="AJ20" s="12"/>
      <c r="AK20" s="9"/>
      <c r="AL20" s="9"/>
      <c r="AM20" s="9"/>
      <c r="AN20" s="9"/>
      <c r="AO20" s="9"/>
    </row>
    <row r="21" spans="1:41" ht="12.75">
      <c r="A21" s="8" t="s">
        <v>51</v>
      </c>
      <c r="B21" s="9">
        <f>B26</f>
        <v>1717</v>
      </c>
      <c r="C21" s="9">
        <f>SUM(C23:C26)</f>
        <v>57</v>
      </c>
      <c r="D21" s="9">
        <f>SUM(D23:D26)</f>
        <v>95</v>
      </c>
      <c r="E21" s="9">
        <f>C21-D21</f>
        <v>-38</v>
      </c>
      <c r="F21" s="9">
        <f>F26</f>
        <v>2930</v>
      </c>
      <c r="G21" s="9">
        <f>SUM(G23:G26)</f>
        <v>197</v>
      </c>
      <c r="H21" s="9">
        <f>SUM(H23:H26)</f>
        <v>255</v>
      </c>
      <c r="I21" s="9">
        <f>G21-H21</f>
        <v>-58</v>
      </c>
      <c r="J21" s="9">
        <f>J26</f>
        <v>476</v>
      </c>
      <c r="K21" s="9">
        <f>SUM(K23:K26)</f>
        <v>16</v>
      </c>
      <c r="L21" s="9">
        <f>SUM(L23:L26)</f>
        <v>27</v>
      </c>
      <c r="M21" s="9">
        <f>K21-L21</f>
        <v>-11</v>
      </c>
      <c r="N21" s="9">
        <f>N26</f>
        <v>4638</v>
      </c>
      <c r="O21" s="9">
        <f>SUM(O23:O26)</f>
        <v>577</v>
      </c>
      <c r="P21" s="9">
        <f>SUM(P23:P26)</f>
        <v>306</v>
      </c>
      <c r="Q21" s="9">
        <f>O21-P21</f>
        <v>271</v>
      </c>
      <c r="R21" s="30"/>
      <c r="S21" s="30"/>
      <c r="T21" s="30"/>
      <c r="U21" s="9"/>
      <c r="V21" s="12"/>
      <c r="W21" s="12"/>
      <c r="X21" s="12"/>
      <c r="Y21" s="9"/>
      <c r="Z21" s="12"/>
      <c r="AA21" s="12"/>
      <c r="AB21" s="12"/>
      <c r="AC21" s="9"/>
      <c r="AD21" s="12"/>
      <c r="AE21" s="12"/>
      <c r="AF21" s="12"/>
      <c r="AG21" s="9"/>
      <c r="AH21" s="12"/>
      <c r="AI21" s="12"/>
      <c r="AJ21" s="12"/>
      <c r="AK21" s="9"/>
      <c r="AL21" s="9"/>
      <c r="AM21" s="9"/>
      <c r="AN21" s="9"/>
      <c r="AO21" s="9"/>
    </row>
    <row r="22" spans="1:41" ht="12.75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30"/>
      <c r="S22" s="30"/>
      <c r="T22" s="30"/>
      <c r="U22" s="9"/>
      <c r="V22" s="12"/>
      <c r="W22" s="12"/>
      <c r="X22" s="12"/>
      <c r="Y22" s="9"/>
      <c r="Z22" s="12"/>
      <c r="AA22" s="12"/>
      <c r="AB22" s="12"/>
      <c r="AC22" s="9"/>
      <c r="AD22" s="12"/>
      <c r="AE22" s="12"/>
      <c r="AF22" s="12"/>
      <c r="AG22" s="9"/>
      <c r="AH22" s="12"/>
      <c r="AI22" s="12"/>
      <c r="AJ22" s="12"/>
      <c r="AK22" s="9"/>
      <c r="AL22" s="9"/>
      <c r="AM22" s="9"/>
      <c r="AN22" s="9"/>
      <c r="AO22" s="9"/>
    </row>
    <row r="23" spans="1:41" ht="12.75">
      <c r="A23" s="11" t="s">
        <v>52</v>
      </c>
      <c r="B23" s="12">
        <v>1714</v>
      </c>
      <c r="C23" s="12">
        <v>17</v>
      </c>
      <c r="D23" s="12">
        <v>55</v>
      </c>
      <c r="E23" s="9">
        <f>C23-D23</f>
        <v>-38</v>
      </c>
      <c r="F23" s="12">
        <v>2924</v>
      </c>
      <c r="G23" s="12">
        <v>39</v>
      </c>
      <c r="H23" s="12">
        <v>108</v>
      </c>
      <c r="I23" s="9">
        <f>G23-H23</f>
        <v>-69</v>
      </c>
      <c r="J23" s="12">
        <v>490</v>
      </c>
      <c r="K23" s="12">
        <v>1</v>
      </c>
      <c r="L23" s="12">
        <v>11</v>
      </c>
      <c r="M23" s="9">
        <f>K23-L23</f>
        <v>-10</v>
      </c>
      <c r="N23" s="12">
        <v>4369</v>
      </c>
      <c r="O23" s="12">
        <v>117</v>
      </c>
      <c r="P23" s="12">
        <v>131</v>
      </c>
      <c r="Q23" s="9">
        <f>O23-P23</f>
        <v>-14</v>
      </c>
      <c r="R23" s="30"/>
      <c r="S23" s="30"/>
      <c r="T23" s="30"/>
      <c r="U23" s="9"/>
      <c r="V23" s="12"/>
      <c r="W23" s="12"/>
      <c r="X23" s="12"/>
      <c r="Y23" s="9"/>
      <c r="Z23" s="12"/>
      <c r="AA23" s="12"/>
      <c r="AB23" s="12"/>
      <c r="AC23" s="9"/>
      <c r="AD23" s="12"/>
      <c r="AE23" s="12"/>
      <c r="AF23" s="12"/>
      <c r="AG23" s="9"/>
      <c r="AH23" s="12"/>
      <c r="AI23" s="12"/>
      <c r="AJ23" s="12"/>
      <c r="AK23" s="9"/>
      <c r="AL23" s="9"/>
      <c r="AM23" s="9"/>
      <c r="AN23" s="9"/>
      <c r="AO23" s="9"/>
    </row>
    <row r="24" spans="1:41" ht="12.75">
      <c r="A24" s="11" t="s">
        <v>22</v>
      </c>
      <c r="B24" s="12">
        <v>1709</v>
      </c>
      <c r="C24" s="12">
        <v>18</v>
      </c>
      <c r="D24" s="12">
        <v>21</v>
      </c>
      <c r="E24" s="9">
        <f>C24-D24</f>
        <v>-3</v>
      </c>
      <c r="F24" s="12">
        <v>2927</v>
      </c>
      <c r="G24" s="12">
        <v>55</v>
      </c>
      <c r="H24" s="12">
        <v>51</v>
      </c>
      <c r="I24" s="9">
        <f>G24-H24</f>
        <v>4</v>
      </c>
      <c r="J24" s="12">
        <v>486</v>
      </c>
      <c r="K24" s="12">
        <v>2</v>
      </c>
      <c r="L24" s="12">
        <v>6</v>
      </c>
      <c r="M24" s="9">
        <f>K24-L24</f>
        <v>-4</v>
      </c>
      <c r="N24" s="12">
        <v>4486</v>
      </c>
      <c r="O24" s="12">
        <v>188</v>
      </c>
      <c r="P24" s="12">
        <v>55</v>
      </c>
      <c r="Q24" s="9">
        <f>O24-P24</f>
        <v>133</v>
      </c>
      <c r="R24" s="30"/>
      <c r="S24" s="30"/>
      <c r="T24" s="30"/>
      <c r="U24" s="9"/>
      <c r="V24" s="12"/>
      <c r="W24" s="12"/>
      <c r="X24" s="12"/>
      <c r="Y24" s="9"/>
      <c r="Z24" s="12"/>
      <c r="AA24" s="12"/>
      <c r="AB24" s="12"/>
      <c r="AC24" s="9"/>
      <c r="AD24" s="12"/>
      <c r="AE24" s="12"/>
      <c r="AF24" s="12"/>
      <c r="AG24" s="9"/>
      <c r="AH24" s="12"/>
      <c r="AI24" s="12"/>
      <c r="AJ24" s="12"/>
      <c r="AK24" s="9"/>
      <c r="AL24" s="9"/>
      <c r="AM24" s="9"/>
      <c r="AN24" s="9"/>
      <c r="AO24" s="9"/>
    </row>
    <row r="25" spans="1:41" ht="12.75">
      <c r="A25" s="11" t="s">
        <v>23</v>
      </c>
      <c r="B25" s="12">
        <v>1713</v>
      </c>
      <c r="C25" s="12">
        <v>11</v>
      </c>
      <c r="D25" s="12">
        <v>9</v>
      </c>
      <c r="E25" s="9">
        <f>C25-D25</f>
        <v>2</v>
      </c>
      <c r="F25" s="12">
        <v>2932</v>
      </c>
      <c r="G25" s="12">
        <v>54</v>
      </c>
      <c r="H25" s="12">
        <v>44</v>
      </c>
      <c r="I25" s="9">
        <f>G25-H25</f>
        <v>10</v>
      </c>
      <c r="J25" s="12">
        <v>486</v>
      </c>
      <c r="K25" s="12">
        <v>5</v>
      </c>
      <c r="L25" s="12">
        <v>3</v>
      </c>
      <c r="M25" s="9">
        <f>K25-L25</f>
        <v>2</v>
      </c>
      <c r="N25" s="12">
        <v>4555</v>
      </c>
      <c r="O25" s="12">
        <v>117</v>
      </c>
      <c r="P25" s="12">
        <v>43</v>
      </c>
      <c r="Q25" s="9">
        <f>O25-P25</f>
        <v>74</v>
      </c>
      <c r="R25" s="30"/>
      <c r="S25" s="30"/>
      <c r="T25" s="30"/>
      <c r="U25" s="9"/>
      <c r="V25" s="12"/>
      <c r="W25" s="12"/>
      <c r="X25" s="12"/>
      <c r="Y25" s="9"/>
      <c r="Z25" s="12"/>
      <c r="AA25" s="12"/>
      <c r="AB25" s="12"/>
      <c r="AC25" s="9"/>
      <c r="AD25" s="12"/>
      <c r="AE25" s="12"/>
      <c r="AF25" s="12"/>
      <c r="AG25" s="9"/>
      <c r="AH25" s="12"/>
      <c r="AI25" s="12"/>
      <c r="AJ25" s="12"/>
      <c r="AK25" s="9"/>
      <c r="AL25" s="9"/>
      <c r="AM25" s="9"/>
      <c r="AN25" s="9"/>
      <c r="AO25" s="9"/>
    </row>
    <row r="26" spans="1:41" ht="12.75">
      <c r="A26" s="11" t="s">
        <v>24</v>
      </c>
      <c r="B26" s="12">
        <v>1717</v>
      </c>
      <c r="C26" s="12">
        <v>11</v>
      </c>
      <c r="D26" s="12">
        <v>10</v>
      </c>
      <c r="E26" s="9">
        <f>C26-D26</f>
        <v>1</v>
      </c>
      <c r="F26" s="12">
        <v>2930</v>
      </c>
      <c r="G26" s="12">
        <v>49</v>
      </c>
      <c r="H26" s="12">
        <v>52</v>
      </c>
      <c r="I26" s="9">
        <f>G26-H26</f>
        <v>-3</v>
      </c>
      <c r="J26" s="12">
        <v>476</v>
      </c>
      <c r="K26" s="12">
        <v>8</v>
      </c>
      <c r="L26" s="12">
        <v>7</v>
      </c>
      <c r="M26" s="9">
        <f>K26-L26</f>
        <v>1</v>
      </c>
      <c r="N26" s="12">
        <v>4638</v>
      </c>
      <c r="O26" s="12">
        <v>155</v>
      </c>
      <c r="P26" s="12">
        <v>77</v>
      </c>
      <c r="Q26" s="9">
        <f>O26-P26</f>
        <v>78</v>
      </c>
      <c r="R26" s="30"/>
      <c r="S26" s="30"/>
      <c r="T26" s="30"/>
      <c r="U26" s="9"/>
      <c r="V26" s="12"/>
      <c r="W26" s="12"/>
      <c r="X26" s="12"/>
      <c r="Y26" s="9"/>
      <c r="Z26" s="12"/>
      <c r="AA26" s="12"/>
      <c r="AB26" s="12"/>
      <c r="AC26" s="9"/>
      <c r="AD26" s="12"/>
      <c r="AE26" s="12"/>
      <c r="AF26" s="12"/>
      <c r="AG26" s="9"/>
      <c r="AH26" s="12"/>
      <c r="AI26" s="12"/>
      <c r="AJ26" s="12"/>
      <c r="AK26" s="9"/>
      <c r="AL26" s="9"/>
      <c r="AM26" s="9"/>
      <c r="AN26" s="9"/>
      <c r="AO26" s="9"/>
    </row>
    <row r="27" spans="1:41" ht="12.75">
      <c r="A27" s="11"/>
      <c r="B27" s="12"/>
      <c r="C27" s="12"/>
      <c r="D27" s="12"/>
      <c r="E27" s="9"/>
      <c r="F27" s="12"/>
      <c r="G27" s="12"/>
      <c r="H27" s="12"/>
      <c r="I27" s="9"/>
      <c r="J27" s="12"/>
      <c r="K27" s="12"/>
      <c r="L27" s="12"/>
      <c r="M27" s="9"/>
      <c r="N27" s="12"/>
      <c r="O27" s="12"/>
      <c r="P27" s="12"/>
      <c r="Q27" s="9"/>
      <c r="R27" s="30"/>
      <c r="S27" s="30"/>
      <c r="T27" s="30"/>
      <c r="U27" s="9"/>
      <c r="V27" s="12"/>
      <c r="W27" s="12"/>
      <c r="X27" s="12"/>
      <c r="Y27" s="9"/>
      <c r="Z27" s="12"/>
      <c r="AA27" s="12"/>
      <c r="AB27" s="12"/>
      <c r="AC27" s="9"/>
      <c r="AD27" s="12"/>
      <c r="AE27" s="12"/>
      <c r="AF27" s="12"/>
      <c r="AG27" s="9"/>
      <c r="AH27" s="12"/>
      <c r="AI27" s="12"/>
      <c r="AJ27" s="12"/>
      <c r="AK27" s="9"/>
      <c r="AL27" s="9"/>
      <c r="AM27" s="9"/>
      <c r="AN27" s="9"/>
      <c r="AO27" s="9"/>
    </row>
    <row r="28" spans="1:41" ht="12.75">
      <c r="A28" s="13" t="s">
        <v>1</v>
      </c>
      <c r="B28" s="14" t="s">
        <v>57</v>
      </c>
      <c r="C28" s="15"/>
      <c r="D28" s="15"/>
      <c r="E28" s="16"/>
      <c r="F28" s="14" t="s">
        <v>37</v>
      </c>
      <c r="G28" s="15"/>
      <c r="H28" s="15"/>
      <c r="I28" s="23"/>
      <c r="J28" s="30"/>
      <c r="K28" s="30"/>
      <c r="L28" s="30"/>
      <c r="M28" s="33"/>
      <c r="N28" s="30"/>
      <c r="O28" s="30"/>
      <c r="P28" s="30"/>
      <c r="Q28" s="33"/>
      <c r="R28" s="30"/>
      <c r="S28" s="30"/>
      <c r="T28" s="30"/>
      <c r="U28" s="9"/>
      <c r="V28" s="12"/>
      <c r="W28" s="12"/>
      <c r="X28" s="12"/>
      <c r="Y28" s="9"/>
      <c r="Z28" s="12"/>
      <c r="AA28" s="12"/>
      <c r="AB28" s="12"/>
      <c r="AC28" s="9"/>
      <c r="AD28" s="12"/>
      <c r="AE28" s="12"/>
      <c r="AF28" s="12"/>
      <c r="AG28" s="9"/>
      <c r="AH28" s="12"/>
      <c r="AI28" s="12"/>
      <c r="AJ28" s="12"/>
      <c r="AK28" s="9"/>
      <c r="AL28" s="9"/>
      <c r="AM28" s="9"/>
      <c r="AN28" s="9"/>
      <c r="AO28" s="9"/>
    </row>
    <row r="29" spans="1:41" ht="12.75">
      <c r="A29" s="17"/>
      <c r="B29" s="2" t="s">
        <v>8</v>
      </c>
      <c r="C29" s="3" t="s">
        <v>46</v>
      </c>
      <c r="D29" s="3" t="s">
        <v>47</v>
      </c>
      <c r="E29" s="7" t="s">
        <v>11</v>
      </c>
      <c r="F29" s="2" t="s">
        <v>8</v>
      </c>
      <c r="G29" s="3" t="s">
        <v>46</v>
      </c>
      <c r="H29" s="3" t="s">
        <v>47</v>
      </c>
      <c r="I29" s="7" t="s">
        <v>11</v>
      </c>
      <c r="J29" s="30"/>
      <c r="K29" s="30"/>
      <c r="L29" s="30"/>
      <c r="M29" s="33"/>
      <c r="N29" s="30"/>
      <c r="O29" s="30"/>
      <c r="P29" s="30"/>
      <c r="Q29" s="33"/>
      <c r="R29" s="30"/>
      <c r="S29" s="30"/>
      <c r="T29" s="30"/>
      <c r="U29" s="9"/>
      <c r="V29" s="12"/>
      <c r="W29" s="12"/>
      <c r="X29" s="12"/>
      <c r="Y29" s="9"/>
      <c r="Z29" s="12"/>
      <c r="AA29" s="12"/>
      <c r="AB29" s="12"/>
      <c r="AC29" s="9"/>
      <c r="AD29" s="12"/>
      <c r="AE29" s="12"/>
      <c r="AF29" s="12"/>
      <c r="AG29" s="9"/>
      <c r="AH29" s="12"/>
      <c r="AI29" s="12"/>
      <c r="AJ29" s="12"/>
      <c r="AK29" s="9"/>
      <c r="AL29" s="9"/>
      <c r="AM29" s="9"/>
      <c r="AN29" s="9"/>
      <c r="AO29" s="9"/>
    </row>
    <row r="30" spans="1:41" ht="12.75">
      <c r="A30" s="8" t="s">
        <v>48</v>
      </c>
      <c r="B30" s="9">
        <v>3204</v>
      </c>
      <c r="C30" s="9">
        <v>242</v>
      </c>
      <c r="D30" s="9">
        <v>220</v>
      </c>
      <c r="E30" s="9">
        <f>C30-D30</f>
        <v>22</v>
      </c>
      <c r="F30" s="9">
        <f aca="true" t="shared" si="0" ref="F30:H32">B30+N18+J18+F18+B18+N6+J6+F6+B6</f>
        <v>28053</v>
      </c>
      <c r="G30" s="9">
        <f t="shared" si="0"/>
        <v>2651</v>
      </c>
      <c r="H30" s="9">
        <f t="shared" si="0"/>
        <v>2468</v>
      </c>
      <c r="I30" s="9">
        <f>G30-H30</f>
        <v>183</v>
      </c>
      <c r="J30" s="30"/>
      <c r="K30" s="30"/>
      <c r="L30" s="30"/>
      <c r="M30" s="33"/>
      <c r="N30" s="30"/>
      <c r="O30" s="30"/>
      <c r="P30" s="30"/>
      <c r="Q30" s="33"/>
      <c r="R30" s="30"/>
      <c r="S30" s="30"/>
      <c r="T30" s="30"/>
      <c r="U30" s="9"/>
      <c r="V30" s="12"/>
      <c r="W30" s="12"/>
      <c r="X30" s="12"/>
      <c r="Y30" s="9"/>
      <c r="Z30" s="12"/>
      <c r="AA30" s="12"/>
      <c r="AB30" s="12"/>
      <c r="AC30" s="9"/>
      <c r="AD30" s="12"/>
      <c r="AE30" s="12"/>
      <c r="AF30" s="12"/>
      <c r="AG30" s="9"/>
      <c r="AH30" s="12"/>
      <c r="AI30" s="12"/>
      <c r="AJ30" s="12"/>
      <c r="AK30" s="9"/>
      <c r="AL30" s="9"/>
      <c r="AM30" s="9"/>
      <c r="AN30" s="9"/>
      <c r="AO30" s="9"/>
    </row>
    <row r="31" spans="1:41" ht="12.75">
      <c r="A31" s="8" t="s">
        <v>49</v>
      </c>
      <c r="B31" s="9">
        <v>3240</v>
      </c>
      <c r="C31" s="9">
        <v>309</v>
      </c>
      <c r="D31" s="9">
        <v>256</v>
      </c>
      <c r="E31" s="9">
        <f>C31-D31</f>
        <v>53</v>
      </c>
      <c r="F31" s="9">
        <f t="shared" si="0"/>
        <v>28407</v>
      </c>
      <c r="G31" s="9">
        <f t="shared" si="0"/>
        <v>2902</v>
      </c>
      <c r="H31" s="9">
        <f t="shared" si="0"/>
        <v>2873</v>
      </c>
      <c r="I31" s="9">
        <f>G31-H31</f>
        <v>29</v>
      </c>
      <c r="J31" s="30"/>
      <c r="K31" s="30"/>
      <c r="L31" s="30"/>
      <c r="M31" s="33"/>
      <c r="N31" s="30"/>
      <c r="O31" s="30"/>
      <c r="P31" s="30"/>
      <c r="Q31" s="33"/>
      <c r="R31" s="30"/>
      <c r="S31" s="30"/>
      <c r="T31" s="30"/>
      <c r="U31" s="9"/>
      <c r="V31" s="12"/>
      <c r="W31" s="12"/>
      <c r="X31" s="12"/>
      <c r="Y31" s="9"/>
      <c r="Z31" s="12"/>
      <c r="AA31" s="12"/>
      <c r="AB31" s="12"/>
      <c r="AC31" s="9"/>
      <c r="AD31" s="12"/>
      <c r="AE31" s="12"/>
      <c r="AF31" s="12"/>
      <c r="AG31" s="9"/>
      <c r="AH31" s="12"/>
      <c r="AI31" s="12"/>
      <c r="AJ31" s="12"/>
      <c r="AK31" s="9"/>
      <c r="AL31" s="9"/>
      <c r="AM31" s="9"/>
      <c r="AN31" s="9"/>
      <c r="AO31" s="9"/>
    </row>
    <row r="32" spans="1:41" ht="12.75">
      <c r="A32" s="8" t="s">
        <v>50</v>
      </c>
      <c r="B32" s="9">
        <v>3197</v>
      </c>
      <c r="C32" s="9">
        <v>275</v>
      </c>
      <c r="D32" s="9">
        <v>311</v>
      </c>
      <c r="E32" s="9">
        <f>C32-D32</f>
        <v>-36</v>
      </c>
      <c r="F32" s="9">
        <f t="shared" si="0"/>
        <v>27822</v>
      </c>
      <c r="G32" s="9">
        <f t="shared" si="0"/>
        <v>2493</v>
      </c>
      <c r="H32" s="9">
        <f t="shared" si="0"/>
        <v>3092</v>
      </c>
      <c r="I32" s="9">
        <f>G32-H32</f>
        <v>-599</v>
      </c>
      <c r="J32" s="30"/>
      <c r="K32" s="30"/>
      <c r="L32" s="30"/>
      <c r="M32" s="33"/>
      <c r="N32" s="30"/>
      <c r="O32" s="30"/>
      <c r="P32" s="30"/>
      <c r="Q32" s="33"/>
      <c r="R32" s="30"/>
      <c r="S32" s="30"/>
      <c r="T32" s="30"/>
      <c r="U32" s="9"/>
      <c r="V32" s="12"/>
      <c r="W32" s="12"/>
      <c r="X32" s="12"/>
      <c r="Y32" s="9"/>
      <c r="Z32" s="12"/>
      <c r="AA32" s="12"/>
      <c r="AB32" s="12"/>
      <c r="AC32" s="9"/>
      <c r="AD32" s="12"/>
      <c r="AE32" s="12"/>
      <c r="AF32" s="12"/>
      <c r="AG32" s="9"/>
      <c r="AH32" s="12"/>
      <c r="AI32" s="12"/>
      <c r="AJ32" s="12"/>
      <c r="AK32" s="9"/>
      <c r="AL32" s="9"/>
      <c r="AM32" s="9"/>
      <c r="AN32" s="9"/>
      <c r="AO32" s="9"/>
    </row>
    <row r="33" spans="1:41" ht="12.75">
      <c r="A33" s="8" t="s">
        <v>51</v>
      </c>
      <c r="B33" s="9">
        <f>B38</f>
        <v>3208</v>
      </c>
      <c r="C33" s="9">
        <f>SUM(C35:C38)</f>
        <v>238</v>
      </c>
      <c r="D33" s="9">
        <f>SUM(D35:D38)</f>
        <v>214</v>
      </c>
      <c r="E33" s="9">
        <f>C33-D33</f>
        <v>24</v>
      </c>
      <c r="F33" s="9">
        <f>F38</f>
        <v>27868</v>
      </c>
      <c r="G33" s="9">
        <f>SUM(G35:G38)</f>
        <v>2341</v>
      </c>
      <c r="H33" s="9">
        <f>SUM(H35:H38)</f>
        <v>2039</v>
      </c>
      <c r="I33" s="9">
        <f>G33-H33</f>
        <v>302</v>
      </c>
      <c r="J33" s="30"/>
      <c r="K33" s="30"/>
      <c r="L33" s="30"/>
      <c r="M33" s="33"/>
      <c r="N33" s="30"/>
      <c r="O33" s="30"/>
      <c r="P33" s="30"/>
      <c r="Q33" s="33"/>
      <c r="R33" s="30"/>
      <c r="S33" s="30"/>
      <c r="T33" s="30"/>
      <c r="U33" s="9"/>
      <c r="V33" s="12"/>
      <c r="W33" s="12"/>
      <c r="X33" s="12"/>
      <c r="Y33" s="9"/>
      <c r="Z33" s="12"/>
      <c r="AA33" s="12"/>
      <c r="AB33" s="12"/>
      <c r="AC33" s="9"/>
      <c r="AD33" s="12"/>
      <c r="AE33" s="12"/>
      <c r="AF33" s="12"/>
      <c r="AG33" s="9"/>
      <c r="AH33" s="12"/>
      <c r="AI33" s="12"/>
      <c r="AJ33" s="12"/>
      <c r="AK33" s="9"/>
      <c r="AL33" s="9"/>
      <c r="AM33" s="9"/>
      <c r="AN33" s="9"/>
      <c r="AO33" s="9"/>
    </row>
    <row r="34" spans="1:41" ht="12.75">
      <c r="A34" s="10"/>
      <c r="B34" s="9"/>
      <c r="C34" s="9"/>
      <c r="D34" s="9"/>
      <c r="E34" s="9"/>
      <c r="F34" s="9"/>
      <c r="G34" s="9"/>
      <c r="H34" s="9"/>
      <c r="I34" s="9"/>
      <c r="J34" s="30"/>
      <c r="K34" s="30"/>
      <c r="L34" s="30"/>
      <c r="M34" s="33"/>
      <c r="N34" s="30"/>
      <c r="O34" s="30"/>
      <c r="P34" s="30"/>
      <c r="Q34" s="33"/>
      <c r="R34" s="30"/>
      <c r="S34" s="30"/>
      <c r="T34" s="30"/>
      <c r="U34" s="9"/>
      <c r="V34" s="12"/>
      <c r="W34" s="12"/>
      <c r="X34" s="12"/>
      <c r="Y34" s="9"/>
      <c r="Z34" s="12"/>
      <c r="AA34" s="12"/>
      <c r="AB34" s="12"/>
      <c r="AC34" s="9"/>
      <c r="AD34" s="12"/>
      <c r="AE34" s="12"/>
      <c r="AF34" s="12"/>
      <c r="AG34" s="9"/>
      <c r="AH34" s="12"/>
      <c r="AI34" s="12"/>
      <c r="AJ34" s="12"/>
      <c r="AK34" s="9"/>
      <c r="AL34" s="9"/>
      <c r="AM34" s="9"/>
      <c r="AN34" s="9"/>
      <c r="AO34" s="9"/>
    </row>
    <row r="35" spans="1:41" ht="12.75">
      <c r="A35" s="11" t="s">
        <v>52</v>
      </c>
      <c r="B35" s="12">
        <v>3144</v>
      </c>
      <c r="C35" s="12">
        <v>60</v>
      </c>
      <c r="D35" s="12">
        <v>121</v>
      </c>
      <c r="E35" s="9">
        <f>C35-D35</f>
        <v>-61</v>
      </c>
      <c r="F35" s="9">
        <f aca="true" t="shared" si="1" ref="F35:H38">B35+N23+J23+F23+B23+N11+J11+F11+B11</f>
        <v>27417</v>
      </c>
      <c r="G35" s="9">
        <f t="shared" si="1"/>
        <v>511</v>
      </c>
      <c r="H35" s="9">
        <f t="shared" si="1"/>
        <v>864</v>
      </c>
      <c r="I35" s="9">
        <f>G35-H35</f>
        <v>-353</v>
      </c>
      <c r="J35" s="30"/>
      <c r="K35" s="30"/>
      <c r="L35" s="30"/>
      <c r="M35" s="33"/>
      <c r="N35" s="30"/>
      <c r="O35" s="30"/>
      <c r="P35" s="30"/>
      <c r="Q35" s="33"/>
      <c r="R35" s="30"/>
      <c r="S35" s="30"/>
      <c r="T35" s="30"/>
      <c r="U35" s="9"/>
      <c r="V35" s="12"/>
      <c r="W35" s="12"/>
      <c r="X35" s="12"/>
      <c r="Y35" s="9"/>
      <c r="Z35" s="12"/>
      <c r="AA35" s="12"/>
      <c r="AB35" s="12"/>
      <c r="AC35" s="9"/>
      <c r="AD35" s="12"/>
      <c r="AE35" s="12"/>
      <c r="AF35" s="12"/>
      <c r="AG35" s="9"/>
      <c r="AH35" s="12"/>
      <c r="AI35" s="12"/>
      <c r="AJ35" s="12"/>
      <c r="AK35" s="9"/>
      <c r="AL35" s="9"/>
      <c r="AM35" s="9"/>
      <c r="AN35" s="9"/>
      <c r="AO35" s="9"/>
    </row>
    <row r="36" spans="1:41" ht="12.75">
      <c r="A36" s="11" t="s">
        <v>22</v>
      </c>
      <c r="B36" s="12">
        <v>3120</v>
      </c>
      <c r="C36" s="12">
        <v>66</v>
      </c>
      <c r="D36" s="12">
        <v>33</v>
      </c>
      <c r="E36" s="9">
        <f>C36-D36</f>
        <v>33</v>
      </c>
      <c r="F36" s="9">
        <f t="shared" si="1"/>
        <v>27563</v>
      </c>
      <c r="G36" s="9">
        <f t="shared" si="1"/>
        <v>729</v>
      </c>
      <c r="H36" s="9">
        <f t="shared" si="1"/>
        <v>401</v>
      </c>
      <c r="I36" s="9">
        <f>G36-H36</f>
        <v>328</v>
      </c>
      <c r="J36" s="30"/>
      <c r="K36" s="30"/>
      <c r="L36" s="30"/>
      <c r="M36" s="33"/>
      <c r="N36" s="30"/>
      <c r="O36" s="30"/>
      <c r="P36" s="30"/>
      <c r="Q36" s="33"/>
      <c r="R36" s="30"/>
      <c r="S36" s="30"/>
      <c r="T36" s="30"/>
      <c r="U36" s="9"/>
      <c r="V36" s="12"/>
      <c r="W36" s="12"/>
      <c r="X36" s="12"/>
      <c r="Y36" s="9"/>
      <c r="Z36" s="12"/>
      <c r="AA36" s="12"/>
      <c r="AB36" s="12"/>
      <c r="AC36" s="9"/>
      <c r="AD36" s="12"/>
      <c r="AE36" s="12"/>
      <c r="AF36" s="12"/>
      <c r="AG36" s="9"/>
      <c r="AH36" s="12"/>
      <c r="AI36" s="12"/>
      <c r="AJ36" s="12"/>
      <c r="AK36" s="9"/>
      <c r="AL36" s="9"/>
      <c r="AM36" s="9"/>
      <c r="AN36" s="9"/>
      <c r="AO36" s="9"/>
    </row>
    <row r="37" spans="1:41" ht="12.75">
      <c r="A37" s="11" t="s">
        <v>23</v>
      </c>
      <c r="B37" s="12">
        <v>3190</v>
      </c>
      <c r="C37" s="12">
        <v>40</v>
      </c>
      <c r="D37" s="12">
        <v>20</v>
      </c>
      <c r="E37" s="9">
        <f>C37-D37</f>
        <v>20</v>
      </c>
      <c r="F37" s="9">
        <f t="shared" si="1"/>
        <v>27740</v>
      </c>
      <c r="G37" s="9">
        <f t="shared" si="1"/>
        <v>458</v>
      </c>
      <c r="H37" s="9">
        <f t="shared" si="1"/>
        <v>306</v>
      </c>
      <c r="I37" s="9">
        <f>G37-H37</f>
        <v>152</v>
      </c>
      <c r="J37" s="30"/>
      <c r="K37" s="30"/>
      <c r="L37" s="30"/>
      <c r="M37" s="33"/>
      <c r="N37" s="30"/>
      <c r="O37" s="30"/>
      <c r="P37" s="30"/>
      <c r="Q37" s="33"/>
      <c r="R37" s="30"/>
      <c r="S37" s="30"/>
      <c r="T37" s="30"/>
      <c r="U37" s="9"/>
      <c r="V37" s="12"/>
      <c r="W37" s="12"/>
      <c r="X37" s="12"/>
      <c r="Y37" s="9"/>
      <c r="Z37" s="12"/>
      <c r="AA37" s="12"/>
      <c r="AB37" s="12"/>
      <c r="AC37" s="9"/>
      <c r="AD37" s="12"/>
      <c r="AE37" s="12"/>
      <c r="AF37" s="12"/>
      <c r="AG37" s="9"/>
      <c r="AH37" s="12"/>
      <c r="AI37" s="12"/>
      <c r="AJ37" s="12"/>
      <c r="AK37" s="9"/>
      <c r="AL37" s="9"/>
      <c r="AM37" s="9"/>
      <c r="AN37" s="9"/>
      <c r="AO37" s="9"/>
    </row>
    <row r="38" spans="1:41" ht="12.75">
      <c r="A38" s="11" t="s">
        <v>24</v>
      </c>
      <c r="B38" s="12">
        <v>3208</v>
      </c>
      <c r="C38" s="12">
        <v>72</v>
      </c>
      <c r="D38" s="12">
        <v>40</v>
      </c>
      <c r="E38" s="9">
        <f>C38-D38</f>
        <v>32</v>
      </c>
      <c r="F38" s="9">
        <f t="shared" si="1"/>
        <v>27868</v>
      </c>
      <c r="G38" s="9">
        <f t="shared" si="1"/>
        <v>643</v>
      </c>
      <c r="H38" s="9">
        <f t="shared" si="1"/>
        <v>468</v>
      </c>
      <c r="I38" s="9">
        <f>G38-H38</f>
        <v>175</v>
      </c>
      <c r="J38" s="30"/>
      <c r="K38" s="30"/>
      <c r="L38" s="30"/>
      <c r="M38" s="33"/>
      <c r="N38" s="30"/>
      <c r="O38" s="30"/>
      <c r="P38" s="30"/>
      <c r="Q38" s="33"/>
      <c r="R38" s="30"/>
      <c r="S38" s="30"/>
      <c r="T38" s="30"/>
      <c r="U38" s="9"/>
      <c r="V38" s="12"/>
      <c r="W38" s="12"/>
      <c r="X38" s="12"/>
      <c r="Y38" s="9"/>
      <c r="Z38" s="12"/>
      <c r="AA38" s="12"/>
      <c r="AB38" s="12"/>
      <c r="AC38" s="9"/>
      <c r="AD38" s="12"/>
      <c r="AE38" s="12"/>
      <c r="AF38" s="12"/>
      <c r="AG38" s="9"/>
      <c r="AH38" s="12"/>
      <c r="AI38" s="12"/>
      <c r="AJ38" s="12"/>
      <c r="AK38" s="9"/>
      <c r="AL38" s="9"/>
      <c r="AM38" s="9"/>
      <c r="AN38" s="9"/>
      <c r="AO38" s="9"/>
    </row>
    <row r="39" spans="1:20" ht="12.75">
      <c r="A39" s="6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19" t="s">
        <v>58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19" t="s">
        <v>59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19" t="s">
        <v>60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6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6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6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s="6"/>
      <c r="R46" s="32"/>
      <c r="S46" s="32"/>
      <c r="T46" s="32"/>
    </row>
    <row r="47" spans="1:20" ht="12.75">
      <c r="A47" s="6"/>
      <c r="R47" s="32"/>
      <c r="S47" s="32"/>
      <c r="T47" s="32"/>
    </row>
    <row r="48" spans="1:20" ht="12.75">
      <c r="A48" s="6"/>
      <c r="R48" s="32"/>
      <c r="S48" s="32"/>
      <c r="T48" s="32"/>
    </row>
    <row r="49" spans="18:20" ht="12.75">
      <c r="R49" s="32"/>
      <c r="S49" s="32"/>
      <c r="T49" s="32"/>
    </row>
    <row r="50" spans="18:20" ht="12.75">
      <c r="R50" s="32"/>
      <c r="S50" s="32"/>
      <c r="T50" s="32"/>
    </row>
    <row r="51" spans="18:20" ht="12.75">
      <c r="R51" s="32"/>
      <c r="S51" s="32"/>
      <c r="T51" s="32"/>
    </row>
  </sheetData>
  <sheetProtection/>
  <printOptions/>
  <pageMargins left="0.3937007874015748" right="0.3937007874015748" top="0.5905511811023623" bottom="0.5905511811023623" header="0.31496062992125984" footer="0.31496062992125984"/>
  <pageSetup fitToHeight="1" fitToWidth="1" horizontalDpi="180" verticalDpi="180" orientation="landscape" paperSize="9" scale="89" r:id="rId1"/>
  <headerFooter alignWithMargins="0">
    <oddFooter>&amp;C&amp;F&amp;RPagina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NANINI DOMENICO</dc:creator>
  <cp:keywords/>
  <dc:description/>
  <cp:lastModifiedBy>taddia_m</cp:lastModifiedBy>
  <cp:lastPrinted>2016-05-24T13:34:50Z</cp:lastPrinted>
  <dcterms:created xsi:type="dcterms:W3CDTF">2004-07-08T06:32:43Z</dcterms:created>
  <dcterms:modified xsi:type="dcterms:W3CDTF">2016-05-25T08:32:33Z</dcterms:modified>
  <cp:category/>
  <cp:version/>
  <cp:contentType/>
  <cp:contentStatus/>
</cp:coreProperties>
</file>