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0455" windowHeight="11235" firstSheet="2" activeTab="3"/>
  </bookViews>
  <sheets>
    <sheet name="dal 1991 al 1994" sheetId="1" r:id="rId1"/>
    <sheet name="dal 1995 al 1998" sheetId="2" r:id="rId2"/>
    <sheet name="dal 1999 al 2009" sheetId="3" r:id="rId3"/>
    <sheet name="dal 2009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<sst xmlns="http://schemas.openxmlformats.org/spreadsheetml/2006/main" count="362" uniqueCount="116">
  <si>
    <t>REGISTRO IMPRESE - UNITA' LOCALI PER CLASSI DI ADDETTI E SETTORI DI ATTIVITA' IN PROVINCIA DI MODENA DAL 1995</t>
  </si>
  <si>
    <t>PERIODI</t>
  </si>
  <si>
    <t>AGRICOLTURA E PESCA</t>
  </si>
  <si>
    <t>ESTRAZIONE DI MINERALI</t>
  </si>
  <si>
    <t>INDUSTRIA MANIFATTURIERA E ENERGIA</t>
  </si>
  <si>
    <t>U.L. con addetti da 10 a 49</t>
  </si>
  <si>
    <t>U.L. con addetti da 50 a 99</t>
  </si>
  <si>
    <t>U.L. con oltre 100 addetti</t>
  </si>
  <si>
    <t>totale unità locali</t>
  </si>
  <si>
    <t>totale addetti</t>
  </si>
  <si>
    <t>30/06/95</t>
  </si>
  <si>
    <t>31/12/95</t>
  </si>
  <si>
    <t>30/06/96</t>
  </si>
  <si>
    <t>31/12/96</t>
  </si>
  <si>
    <t>COSTRUZIONI</t>
  </si>
  <si>
    <t>COMMERCIO</t>
  </si>
  <si>
    <t>ALBERGHI E PUBBLICI ESERCIZI</t>
  </si>
  <si>
    <t>TRASPORTI</t>
  </si>
  <si>
    <t>INTERMEDIAZIONE MONETARIA E FINANZIARIA</t>
  </si>
  <si>
    <t>ALTRI SERVIZI ALLE IMPRESE</t>
  </si>
  <si>
    <t>oltre 100</t>
  </si>
  <si>
    <t>ISTRUZIONE</t>
  </si>
  <si>
    <t>SANITA'</t>
  </si>
  <si>
    <t>ALTRI SERVIZI PUBBLICI</t>
  </si>
  <si>
    <t>NON CODIFICATE</t>
  </si>
  <si>
    <t>TOTALE</t>
  </si>
  <si>
    <t xml:space="preserve">Fonte:  SAST/ISET Infocamere </t>
  </si>
  <si>
    <t>Nota: Dal 1995 i dati sono pubblicati con la nuova codifica delle attività economiche ISTAT '91; non è quindi possibile continuare la serie storica precedente, codificata con i codici ISTAT '81.</t>
  </si>
  <si>
    <t xml:space="preserve">Le unità locali che non hanno dichiarato gli addetti sono state inserite nella classe da 0 a 2 addetti supponendo che abbiano una media di almeno un addetto. Pertanto anche il totale addetti comprende 1 addetto per ciascuna delle imprese che non li hanno </t>
  </si>
  <si>
    <t>U.L. con addetti da 0 a 2</t>
  </si>
  <si>
    <t xml:space="preserve">U.L. con addetti da 3 a 9 </t>
  </si>
  <si>
    <t>REGISTRO IMPRESE - UNITA' LOCALI PER CLASSI DI ADDETTI E SETTORI DI ATTIVITA' IN PROVINCIA DI MODENA - Anni 1991-1994</t>
  </si>
  <si>
    <t>NON DICHIARATO</t>
  </si>
  <si>
    <t>AGRICOLTURA</t>
  </si>
  <si>
    <t>ENERGIA</t>
  </si>
  <si>
    <t>30/06/91</t>
  </si>
  <si>
    <t>31/12/91</t>
  </si>
  <si>
    <t>30/06/92</t>
  </si>
  <si>
    <t>31/12/92</t>
  </si>
  <si>
    <t>30/06/93</t>
  </si>
  <si>
    <t>31/12/93</t>
  </si>
  <si>
    <t>30/06/94</t>
  </si>
  <si>
    <t>31/12/94</t>
  </si>
  <si>
    <t>CERAMICO, ESTRATTIVA, CHIMICA</t>
  </si>
  <si>
    <t>SIDERURGIA, MECCANICO</t>
  </si>
  <si>
    <t>TESSILE, ALIMENTARE, LEGNO</t>
  </si>
  <si>
    <t xml:space="preserve">EDILIZIA </t>
  </si>
  <si>
    <t>CREDITO, ASSICURAZIONI,SERVIZI A IMPRESE</t>
  </si>
  <si>
    <t>SERVIZI ALLE PERSONE</t>
  </si>
  <si>
    <t>Fonte: Sast/Iset - Infocamere</t>
  </si>
  <si>
    <t>31/12/99</t>
  </si>
  <si>
    <t>30/06/00</t>
  </si>
  <si>
    <t>31/12/00</t>
  </si>
  <si>
    <t>30/06/01</t>
  </si>
  <si>
    <t>31/12/01</t>
  </si>
  <si>
    <t>30/06/02</t>
  </si>
  <si>
    <t>31/12/02</t>
  </si>
  <si>
    <t>30/06/03</t>
  </si>
  <si>
    <t>Pesca,piscicoltura e servizi connessi</t>
  </si>
  <si>
    <t>Estrazione di minerali</t>
  </si>
  <si>
    <t>Agricoltura, caccia e silvicoltura</t>
  </si>
  <si>
    <t>Attivita' manifatturiere</t>
  </si>
  <si>
    <t>Prod.e distrib.energ.elettr.,gas e acqua</t>
  </si>
  <si>
    <t>Costruzioni</t>
  </si>
  <si>
    <t>Comm.ingr.e dett.-rip.beni pers.e per la casa</t>
  </si>
  <si>
    <t>Alberghi e ristoranti</t>
  </si>
  <si>
    <t>Trasporti,magazzinaggio e comunicaz.</t>
  </si>
  <si>
    <t>Intermediaz.monetaria e finanziaria</t>
  </si>
  <si>
    <t>Attiv.immob.,noleggio,informat.,ricerca</t>
  </si>
  <si>
    <t>Pubbl.amm.e difesa;assic.sociale obbligatoria</t>
  </si>
  <si>
    <t>Istruzione</t>
  </si>
  <si>
    <t>Sanita' e altri servizi sociali</t>
  </si>
  <si>
    <t>Altri servizi pubblici,sociali e personali</t>
  </si>
  <si>
    <t>Imprese non classificate</t>
  </si>
  <si>
    <t>31/12/03</t>
  </si>
  <si>
    <t>30/06/04</t>
  </si>
  <si>
    <t>31/12/04</t>
  </si>
  <si>
    <t>Settore Attività</t>
  </si>
  <si>
    <t>Fonte: dati Registro Imprese Cciaa Modena forniti da Stock View, Infocamere</t>
  </si>
  <si>
    <t>30/06/2005</t>
  </si>
  <si>
    <t>30/06/09</t>
  </si>
  <si>
    <t>31/12/09</t>
  </si>
  <si>
    <t>30/06/10</t>
  </si>
  <si>
    <t>31/12/10</t>
  </si>
  <si>
    <t>30/06/11</t>
  </si>
  <si>
    <t>31/12/11</t>
  </si>
  <si>
    <t>30/06/12</t>
  </si>
  <si>
    <t>31/12/12</t>
  </si>
  <si>
    <t>30/06/13</t>
  </si>
  <si>
    <t>31/12/13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</si>
  <si>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</si>
  <si>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</si>
  <si>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</si>
  <si>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</si>
  <si>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</si>
  <si>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</si>
  <si>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</si>
  <si>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</si>
  <si>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</si>
  <si>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</si>
  <si>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</si>
  <si>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</si>
  <si>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</si>
  <si>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</si>
  <si>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</si>
  <si>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</si>
  <si>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</si>
  <si>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</si>
  <si>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</si>
  <si>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REGISTRO IMPRESE - UNITA' LOCALI ATTIVE PER SETTORI DI ATTIVITA' IN PROVINCIA DI MODENA DAL 1999 - Ateco 2002</t>
  </si>
  <si>
    <t>REGISTRO IMPRESE - UNITA' LOCALI ATTIVE PER SETTORI DI ATTIVITA' IN PROVINCIA DI MODENA DAL 2009 - Ateco 2007</t>
  </si>
  <si>
    <t>30/06/14</t>
  </si>
  <si>
    <t>31/12/14</t>
  </si>
  <si>
    <t>Nota: Dal 2009 i dati sono pubblicati con la nuova codifica ATECO 2007 in sostituzione alle attività economiche codificate ATECO 2002 in vigore dal 2004.</t>
  </si>
  <si>
    <t>30/06/15</t>
  </si>
  <si>
    <t>31/12/15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</si>
</sst>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#,##0_ ;\-#,##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4" fillId="0" borderId="0" xfId="0" applyNumberFormat="1" applyFont="1" applyBorder="1" applyAlignment="1" quotePrefix="1">
      <alignment horizontal="right"/>
    </xf>
    <xf numFmtId="3" fontId="4" fillId="0" borderId="0" xfId="46" applyNumberFormat="1" applyFont="1" applyBorder="1" applyAlignment="1">
      <alignment/>
    </xf>
    <xf numFmtId="3" fontId="4" fillId="0" borderId="0" xfId="46" applyNumberFormat="1" applyFont="1" applyAlignment="1">
      <alignment/>
    </xf>
    <xf numFmtId="3" fontId="4" fillId="0" borderId="0" xfId="46" applyNumberFormat="1" applyFont="1" applyAlignment="1">
      <alignment horizontal="right"/>
    </xf>
    <xf numFmtId="0" fontId="4" fillId="0" borderId="0" xfId="0" applyFont="1" applyBorder="1" applyAlignment="1">
      <alignment/>
    </xf>
    <xf numFmtId="169" fontId="4" fillId="0" borderId="0" xfId="46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46" applyNumberFormat="1" applyFont="1" applyBorder="1" applyAlignment="1">
      <alignment horizontal="right"/>
    </xf>
    <xf numFmtId="169" fontId="4" fillId="0" borderId="0" xfId="46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 vertical="center"/>
    </xf>
    <xf numFmtId="1" fontId="4" fillId="0" borderId="0" xfId="46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46" applyNumberFormat="1" applyFont="1" applyBorder="1" applyAlignment="1">
      <alignment/>
    </xf>
    <xf numFmtId="1" fontId="4" fillId="0" borderId="0" xfId="46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VIMPR\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>
    <row r="1" spans="1:15" ht="18" customHeight="1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3" spans="1:22" s="4" customFormat="1" ht="11.25">
      <c r="A3" s="1" t="s">
        <v>1</v>
      </c>
      <c r="B3" s="2"/>
      <c r="C3" s="2"/>
      <c r="D3" s="2"/>
      <c r="E3" s="2" t="s">
        <v>32</v>
      </c>
      <c r="F3" s="2"/>
      <c r="G3" s="2"/>
      <c r="H3" s="3"/>
      <c r="I3" s="2"/>
      <c r="J3" s="2"/>
      <c r="K3" s="2"/>
      <c r="L3" s="2" t="s">
        <v>33</v>
      </c>
      <c r="M3" s="2"/>
      <c r="N3" s="2"/>
      <c r="O3" s="3"/>
      <c r="P3" s="2"/>
      <c r="Q3" s="2"/>
      <c r="R3" s="2"/>
      <c r="S3" s="2" t="s">
        <v>34</v>
      </c>
      <c r="T3" s="2"/>
      <c r="U3" s="2"/>
      <c r="V3" s="3"/>
    </row>
    <row r="4" spans="1:22" s="8" customFormat="1" ht="33.75">
      <c r="A4" s="5"/>
      <c r="B4" s="6" t="s">
        <v>29</v>
      </c>
      <c r="C4" s="6" t="s">
        <v>30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29</v>
      </c>
      <c r="J4" s="6" t="s">
        <v>30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6" t="s">
        <v>29</v>
      </c>
      <c r="Q4" s="6" t="s">
        <v>30</v>
      </c>
      <c r="R4" s="6" t="s">
        <v>5</v>
      </c>
      <c r="S4" s="6" t="s">
        <v>6</v>
      </c>
      <c r="T4" s="6" t="s">
        <v>7</v>
      </c>
      <c r="U4" s="6" t="s">
        <v>8</v>
      </c>
      <c r="V4" s="7" t="s">
        <v>9</v>
      </c>
    </row>
    <row r="5" spans="1:24" s="13" customFormat="1" ht="11.25">
      <c r="A5" s="9" t="s">
        <v>35</v>
      </c>
      <c r="B5" s="10">
        <v>2732</v>
      </c>
      <c r="C5" s="10">
        <v>579</v>
      </c>
      <c r="D5" s="10">
        <v>193</v>
      </c>
      <c r="E5" s="10">
        <v>18</v>
      </c>
      <c r="F5" s="10">
        <v>12</v>
      </c>
      <c r="G5" s="10">
        <f>SUM(B5:F5)</f>
        <v>3534</v>
      </c>
      <c r="H5" s="10">
        <v>12568</v>
      </c>
      <c r="I5" s="10">
        <v>991</v>
      </c>
      <c r="J5" s="10">
        <v>281</v>
      </c>
      <c r="K5" s="10">
        <v>38</v>
      </c>
      <c r="L5" s="10">
        <v>5</v>
      </c>
      <c r="M5" s="10">
        <v>1</v>
      </c>
      <c r="N5" s="10">
        <f>SUM(I5:M5)</f>
        <v>1316</v>
      </c>
      <c r="O5" s="10">
        <v>3268</v>
      </c>
      <c r="P5" s="10">
        <v>7</v>
      </c>
      <c r="Q5" s="10">
        <v>1</v>
      </c>
      <c r="R5" s="10">
        <v>3</v>
      </c>
      <c r="S5" s="10">
        <v>0</v>
      </c>
      <c r="T5" s="10">
        <v>1</v>
      </c>
      <c r="U5" s="10">
        <f>SUM(P5:T5)</f>
        <v>12</v>
      </c>
      <c r="V5" s="10">
        <v>654</v>
      </c>
      <c r="X5" s="14"/>
    </row>
    <row r="6" spans="1:24" s="13" customFormat="1" ht="11.25">
      <c r="A6" s="9" t="s">
        <v>36</v>
      </c>
      <c r="B6" s="10">
        <v>2620</v>
      </c>
      <c r="C6" s="10">
        <v>559</v>
      </c>
      <c r="D6" s="10">
        <v>179</v>
      </c>
      <c r="E6" s="10">
        <v>21</v>
      </c>
      <c r="F6" s="10">
        <v>11</v>
      </c>
      <c r="G6" s="10">
        <f aca="true" t="shared" si="0" ref="G6:G12">SUM(B6:F6)</f>
        <v>3390</v>
      </c>
      <c r="H6" s="10">
        <v>12049</v>
      </c>
      <c r="I6" s="10">
        <v>996</v>
      </c>
      <c r="J6" s="10">
        <v>285</v>
      </c>
      <c r="K6" s="10">
        <v>38</v>
      </c>
      <c r="L6" s="10">
        <v>6</v>
      </c>
      <c r="M6" s="10">
        <v>2</v>
      </c>
      <c r="N6" s="10">
        <f aca="true" t="shared" si="1" ref="N6:N12">SUM(I6:M6)</f>
        <v>1327</v>
      </c>
      <c r="O6" s="10">
        <v>3614</v>
      </c>
      <c r="P6" s="10">
        <v>6</v>
      </c>
      <c r="Q6" s="10">
        <v>1</v>
      </c>
      <c r="R6" s="10">
        <v>3</v>
      </c>
      <c r="S6" s="10">
        <v>1</v>
      </c>
      <c r="T6" s="10">
        <v>1</v>
      </c>
      <c r="U6" s="10">
        <f aca="true" t="shared" si="2" ref="U6:U12">SUM(P6:T6)</f>
        <v>12</v>
      </c>
      <c r="V6" s="10">
        <v>847</v>
      </c>
      <c r="X6" s="14"/>
    </row>
    <row r="7" spans="1:24" s="13" customFormat="1" ht="11.25">
      <c r="A7" s="9" t="s">
        <v>37</v>
      </c>
      <c r="B7" s="10">
        <v>2669</v>
      </c>
      <c r="C7" s="10">
        <v>503</v>
      </c>
      <c r="D7" s="10">
        <v>155</v>
      </c>
      <c r="E7" s="10">
        <v>21</v>
      </c>
      <c r="F7" s="10">
        <v>11</v>
      </c>
      <c r="G7" s="10">
        <f t="shared" si="0"/>
        <v>3359</v>
      </c>
      <c r="H7" s="10">
        <v>11459</v>
      </c>
      <c r="I7" s="10">
        <v>968</v>
      </c>
      <c r="J7" s="10">
        <v>273</v>
      </c>
      <c r="K7" s="10">
        <v>37</v>
      </c>
      <c r="L7" s="10">
        <v>5</v>
      </c>
      <c r="M7" s="10">
        <v>2</v>
      </c>
      <c r="N7" s="10">
        <f t="shared" si="1"/>
        <v>1285</v>
      </c>
      <c r="O7" s="10">
        <v>3404</v>
      </c>
      <c r="P7" s="10">
        <v>6</v>
      </c>
      <c r="Q7" s="10">
        <v>1</v>
      </c>
      <c r="R7" s="10">
        <v>3</v>
      </c>
      <c r="S7" s="10">
        <v>1</v>
      </c>
      <c r="T7" s="10">
        <v>1</v>
      </c>
      <c r="U7" s="10">
        <f t="shared" si="2"/>
        <v>12</v>
      </c>
      <c r="V7" s="10">
        <v>846</v>
      </c>
      <c r="X7" s="14"/>
    </row>
    <row r="8" spans="1:24" s="13" customFormat="1" ht="11.25">
      <c r="A8" s="9" t="s">
        <v>38</v>
      </c>
      <c r="B8" s="10">
        <v>2595</v>
      </c>
      <c r="C8" s="10">
        <v>517</v>
      </c>
      <c r="D8" s="10">
        <v>163</v>
      </c>
      <c r="E8" s="10">
        <v>16</v>
      </c>
      <c r="F8" s="10">
        <v>10</v>
      </c>
      <c r="G8" s="10">
        <f t="shared" si="0"/>
        <v>3301</v>
      </c>
      <c r="H8" s="10">
        <v>10180</v>
      </c>
      <c r="I8" s="10">
        <v>943</v>
      </c>
      <c r="J8" s="10">
        <v>280</v>
      </c>
      <c r="K8" s="10">
        <v>28</v>
      </c>
      <c r="L8" s="10">
        <v>3</v>
      </c>
      <c r="M8" s="10">
        <v>4</v>
      </c>
      <c r="N8" s="10">
        <f t="shared" si="1"/>
        <v>1258</v>
      </c>
      <c r="O8" s="10">
        <v>3430</v>
      </c>
      <c r="P8" s="10">
        <v>6</v>
      </c>
      <c r="Q8" s="10">
        <v>1</v>
      </c>
      <c r="R8" s="10">
        <v>3</v>
      </c>
      <c r="S8" s="10">
        <v>1</v>
      </c>
      <c r="T8" s="10">
        <v>1</v>
      </c>
      <c r="U8" s="10">
        <f t="shared" si="2"/>
        <v>12</v>
      </c>
      <c r="V8" s="10">
        <v>795</v>
      </c>
      <c r="X8" s="14"/>
    </row>
    <row r="9" spans="1:24" s="13" customFormat="1" ht="11.25">
      <c r="A9" s="9" t="s">
        <v>39</v>
      </c>
      <c r="B9" s="10">
        <v>2555</v>
      </c>
      <c r="C9" s="10">
        <v>549</v>
      </c>
      <c r="D9" s="10">
        <v>177</v>
      </c>
      <c r="E9" s="10">
        <v>19</v>
      </c>
      <c r="F9" s="10">
        <v>11</v>
      </c>
      <c r="G9" s="10">
        <f t="shared" si="0"/>
        <v>3311</v>
      </c>
      <c r="H9" s="10">
        <v>11054</v>
      </c>
      <c r="I9" s="10">
        <v>950</v>
      </c>
      <c r="J9" s="10">
        <v>276</v>
      </c>
      <c r="K9" s="10">
        <v>29</v>
      </c>
      <c r="L9" s="10">
        <v>3</v>
      </c>
      <c r="M9" s="10">
        <v>5</v>
      </c>
      <c r="N9" s="10">
        <f t="shared" si="1"/>
        <v>1263</v>
      </c>
      <c r="O9" s="10">
        <v>3534</v>
      </c>
      <c r="P9" s="10">
        <v>6</v>
      </c>
      <c r="Q9" s="10">
        <v>1</v>
      </c>
      <c r="R9" s="10">
        <v>3</v>
      </c>
      <c r="S9" s="10">
        <v>1</v>
      </c>
      <c r="T9" s="10">
        <v>1</v>
      </c>
      <c r="U9" s="10">
        <f t="shared" si="2"/>
        <v>12</v>
      </c>
      <c r="V9" s="10">
        <v>796</v>
      </c>
      <c r="X9" s="14"/>
    </row>
    <row r="10" spans="1:24" s="13" customFormat="1" ht="11.25">
      <c r="A10" s="9" t="s">
        <v>40</v>
      </c>
      <c r="B10" s="10">
        <v>2763</v>
      </c>
      <c r="C10" s="10">
        <v>511</v>
      </c>
      <c r="D10" s="10">
        <v>174</v>
      </c>
      <c r="E10" s="10">
        <v>12</v>
      </c>
      <c r="F10" s="10">
        <v>11</v>
      </c>
      <c r="G10" s="10">
        <f t="shared" si="0"/>
        <v>3471</v>
      </c>
      <c r="H10" s="10">
        <v>11744</v>
      </c>
      <c r="I10" s="10">
        <v>945</v>
      </c>
      <c r="J10" s="10">
        <v>248</v>
      </c>
      <c r="K10" s="10">
        <v>31</v>
      </c>
      <c r="L10" s="10">
        <v>2</v>
      </c>
      <c r="M10" s="10">
        <v>5</v>
      </c>
      <c r="N10" s="10">
        <f t="shared" si="1"/>
        <v>1231</v>
      </c>
      <c r="O10" s="10">
        <v>3365</v>
      </c>
      <c r="P10" s="10">
        <v>5</v>
      </c>
      <c r="Q10" s="10">
        <v>3</v>
      </c>
      <c r="R10" s="10">
        <v>2</v>
      </c>
      <c r="S10" s="10">
        <v>0</v>
      </c>
      <c r="T10" s="10">
        <v>2</v>
      </c>
      <c r="U10" s="10">
        <f t="shared" si="2"/>
        <v>12</v>
      </c>
      <c r="V10" s="10">
        <v>804</v>
      </c>
      <c r="X10" s="14"/>
    </row>
    <row r="11" spans="1:24" s="13" customFormat="1" ht="11.25">
      <c r="A11" s="9" t="s">
        <v>41</v>
      </c>
      <c r="B11" s="10">
        <v>2920</v>
      </c>
      <c r="C11" s="10">
        <v>529</v>
      </c>
      <c r="D11" s="10">
        <v>165</v>
      </c>
      <c r="E11" s="10">
        <v>13</v>
      </c>
      <c r="F11" s="10">
        <v>10</v>
      </c>
      <c r="G11" s="10">
        <f t="shared" si="0"/>
        <v>3637</v>
      </c>
      <c r="H11" s="10">
        <v>11650</v>
      </c>
      <c r="I11" s="10">
        <v>917</v>
      </c>
      <c r="J11" s="10">
        <v>244</v>
      </c>
      <c r="K11" s="10">
        <v>34</v>
      </c>
      <c r="L11" s="10">
        <v>1</v>
      </c>
      <c r="M11" s="10">
        <v>4</v>
      </c>
      <c r="N11" s="10">
        <f t="shared" si="1"/>
        <v>1200</v>
      </c>
      <c r="O11" s="10">
        <v>3191</v>
      </c>
      <c r="P11" s="10">
        <v>6</v>
      </c>
      <c r="Q11" s="10">
        <v>4</v>
      </c>
      <c r="R11" s="10">
        <v>1</v>
      </c>
      <c r="S11" s="10">
        <v>0</v>
      </c>
      <c r="T11" s="10">
        <v>3</v>
      </c>
      <c r="U11" s="10">
        <f t="shared" si="2"/>
        <v>14</v>
      </c>
      <c r="V11" s="10">
        <v>1139</v>
      </c>
      <c r="W11" s="15"/>
      <c r="X11" s="14"/>
    </row>
    <row r="12" spans="1:45" s="13" customFormat="1" ht="11.25">
      <c r="A12" s="9" t="s">
        <v>42</v>
      </c>
      <c r="B12" s="12">
        <v>3082</v>
      </c>
      <c r="C12" s="12">
        <v>592</v>
      </c>
      <c r="D12" s="12">
        <v>164</v>
      </c>
      <c r="E12" s="12">
        <v>14</v>
      </c>
      <c r="F12" s="12">
        <v>10</v>
      </c>
      <c r="G12" s="10">
        <f t="shared" si="0"/>
        <v>3862</v>
      </c>
      <c r="H12" s="12">
        <v>11598</v>
      </c>
      <c r="I12" s="16">
        <v>917</v>
      </c>
      <c r="J12" s="16">
        <v>240</v>
      </c>
      <c r="K12" s="16">
        <v>34</v>
      </c>
      <c r="L12" s="16">
        <v>1</v>
      </c>
      <c r="M12" s="16">
        <v>5</v>
      </c>
      <c r="N12" s="16">
        <f t="shared" si="1"/>
        <v>1197</v>
      </c>
      <c r="O12" s="16">
        <v>3551</v>
      </c>
      <c r="P12" s="16">
        <v>7</v>
      </c>
      <c r="Q12" s="16">
        <v>4</v>
      </c>
      <c r="R12" s="16">
        <v>2</v>
      </c>
      <c r="S12" s="16">
        <v>0</v>
      </c>
      <c r="T12" s="16">
        <v>3</v>
      </c>
      <c r="U12" s="16">
        <f t="shared" si="2"/>
        <v>16</v>
      </c>
      <c r="V12" s="16">
        <v>1174</v>
      </c>
      <c r="W12" s="17"/>
      <c r="X12" s="17"/>
      <c r="Y12" s="17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13" customFormat="1" ht="11.25">
      <c r="A13" s="9"/>
      <c r="B13" s="12"/>
      <c r="C13" s="12"/>
      <c r="D13" s="12"/>
      <c r="E13" s="12"/>
      <c r="F13" s="12"/>
      <c r="G13" s="10"/>
      <c r="H13" s="1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s="13" customFormat="1" ht="11.25">
      <c r="A14" s="1" t="s">
        <v>1</v>
      </c>
      <c r="B14" s="2"/>
      <c r="C14" s="2"/>
      <c r="D14" s="2"/>
      <c r="E14" s="2" t="s">
        <v>43</v>
      </c>
      <c r="F14" s="2"/>
      <c r="G14" s="2"/>
      <c r="H14" s="3"/>
      <c r="I14" s="2"/>
      <c r="J14" s="2"/>
      <c r="K14" s="2"/>
      <c r="L14" s="2" t="s">
        <v>44</v>
      </c>
      <c r="M14" s="2"/>
      <c r="N14" s="2"/>
      <c r="O14" s="3"/>
      <c r="P14" s="2"/>
      <c r="Q14" s="2"/>
      <c r="R14" s="2"/>
      <c r="S14" s="2" t="s">
        <v>45</v>
      </c>
      <c r="T14" s="2"/>
      <c r="U14" s="2"/>
      <c r="V14" s="3"/>
      <c r="W14" s="17"/>
      <c r="X14" s="17"/>
      <c r="Y14" s="17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s="13" customFormat="1" ht="33.75">
      <c r="A15" s="5"/>
      <c r="B15" s="6" t="s">
        <v>29</v>
      </c>
      <c r="C15" s="6" t="s">
        <v>30</v>
      </c>
      <c r="D15" s="6" t="s">
        <v>5</v>
      </c>
      <c r="E15" s="6" t="s">
        <v>6</v>
      </c>
      <c r="F15" s="6" t="s">
        <v>7</v>
      </c>
      <c r="G15" s="6" t="s">
        <v>8</v>
      </c>
      <c r="H15" s="7" t="s">
        <v>9</v>
      </c>
      <c r="I15" s="6" t="s">
        <v>29</v>
      </c>
      <c r="J15" s="6" t="s">
        <v>30</v>
      </c>
      <c r="K15" s="6" t="s">
        <v>5</v>
      </c>
      <c r="L15" s="6" t="s">
        <v>6</v>
      </c>
      <c r="M15" s="6" t="s">
        <v>7</v>
      </c>
      <c r="N15" s="6" t="s">
        <v>8</v>
      </c>
      <c r="O15" s="7" t="s">
        <v>9</v>
      </c>
      <c r="P15" s="6" t="s">
        <v>29</v>
      </c>
      <c r="Q15" s="6" t="s">
        <v>30</v>
      </c>
      <c r="R15" s="6" t="s">
        <v>5</v>
      </c>
      <c r="S15" s="6" t="s">
        <v>6</v>
      </c>
      <c r="T15" s="6" t="s">
        <v>7</v>
      </c>
      <c r="U15" s="6" t="s">
        <v>8</v>
      </c>
      <c r="V15" s="7" t="s">
        <v>9</v>
      </c>
      <c r="W15" s="17"/>
      <c r="X15" s="17"/>
      <c r="Y15" s="17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s="13" customFormat="1" ht="11.25">
      <c r="A16" s="9" t="s">
        <v>35</v>
      </c>
      <c r="B16" s="10">
        <v>410</v>
      </c>
      <c r="C16" s="10">
        <v>219</v>
      </c>
      <c r="D16" s="10">
        <v>196</v>
      </c>
      <c r="E16" s="10">
        <v>45</v>
      </c>
      <c r="F16" s="10">
        <v>46</v>
      </c>
      <c r="G16" s="10">
        <f>SUM(B16:F16)</f>
        <v>916</v>
      </c>
      <c r="H16" s="10">
        <v>18640</v>
      </c>
      <c r="I16" s="10">
        <v>2630</v>
      </c>
      <c r="J16" s="10">
        <v>1514</v>
      </c>
      <c r="K16" s="10">
        <v>937</v>
      </c>
      <c r="L16" s="10">
        <v>63</v>
      </c>
      <c r="M16" s="10">
        <v>44</v>
      </c>
      <c r="N16" s="10">
        <f>SUM(I16:M16)</f>
        <v>5188</v>
      </c>
      <c r="O16" s="10">
        <v>44376</v>
      </c>
      <c r="P16" s="10">
        <v>5585</v>
      </c>
      <c r="Q16" s="10">
        <v>3113</v>
      </c>
      <c r="R16" s="10">
        <v>1075</v>
      </c>
      <c r="S16" s="10">
        <v>44</v>
      </c>
      <c r="T16" s="10">
        <v>30</v>
      </c>
      <c r="U16" s="10">
        <f>SUM(P16:T16)</f>
        <v>9847</v>
      </c>
      <c r="V16" s="10">
        <v>48851</v>
      </c>
      <c r="W16" s="17"/>
      <c r="X16" s="17"/>
      <c r="Y16" s="17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s="13" customFormat="1" ht="11.25">
      <c r="A17" s="9" t="s">
        <v>36</v>
      </c>
      <c r="B17" s="10">
        <v>371</v>
      </c>
      <c r="C17" s="10">
        <v>239</v>
      </c>
      <c r="D17" s="10">
        <v>214</v>
      </c>
      <c r="E17" s="10">
        <v>50</v>
      </c>
      <c r="F17" s="10">
        <v>48</v>
      </c>
      <c r="G17" s="10">
        <f aca="true" t="shared" si="3" ref="G17:G23">SUM(B17:F17)</f>
        <v>922</v>
      </c>
      <c r="H17" s="10">
        <v>20097</v>
      </c>
      <c r="I17" s="10">
        <v>2523</v>
      </c>
      <c r="J17" s="10">
        <v>1569</v>
      </c>
      <c r="K17" s="10">
        <v>951</v>
      </c>
      <c r="L17" s="10">
        <v>72</v>
      </c>
      <c r="M17" s="10">
        <v>52</v>
      </c>
      <c r="N17" s="10">
        <f aca="true" t="shared" si="4" ref="N17:N23">SUM(I17:M17)</f>
        <v>5167</v>
      </c>
      <c r="O17" s="10">
        <v>48273</v>
      </c>
      <c r="P17" s="10">
        <v>5394</v>
      </c>
      <c r="Q17" s="10">
        <v>3217</v>
      </c>
      <c r="R17" s="10">
        <v>1079</v>
      </c>
      <c r="S17" s="10">
        <v>50</v>
      </c>
      <c r="T17" s="10">
        <v>30</v>
      </c>
      <c r="U17" s="10">
        <f aca="true" t="shared" si="5" ref="U17:U23">SUM(P17:T17)</f>
        <v>9770</v>
      </c>
      <c r="V17" s="10">
        <v>49523</v>
      </c>
      <c r="W17" s="17"/>
      <c r="X17" s="17"/>
      <c r="Y17" s="1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s="13" customFormat="1" ht="11.25">
      <c r="A18" s="9" t="s">
        <v>37</v>
      </c>
      <c r="B18" s="10">
        <v>409</v>
      </c>
      <c r="C18" s="10">
        <v>228</v>
      </c>
      <c r="D18" s="10">
        <v>203</v>
      </c>
      <c r="E18" s="10">
        <v>52</v>
      </c>
      <c r="F18" s="10">
        <v>48</v>
      </c>
      <c r="G18" s="10">
        <f t="shared" si="3"/>
        <v>940</v>
      </c>
      <c r="H18" s="10">
        <v>20147</v>
      </c>
      <c r="I18" s="10">
        <v>2579</v>
      </c>
      <c r="J18" s="10">
        <v>1502</v>
      </c>
      <c r="K18" s="10">
        <v>909</v>
      </c>
      <c r="L18" s="10">
        <v>73</v>
      </c>
      <c r="M18" s="10">
        <v>51</v>
      </c>
      <c r="N18" s="10">
        <f t="shared" si="4"/>
        <v>5114</v>
      </c>
      <c r="O18" s="10">
        <v>46486</v>
      </c>
      <c r="P18" s="10">
        <v>5448</v>
      </c>
      <c r="Q18" s="10">
        <v>3019</v>
      </c>
      <c r="R18" s="10">
        <v>1050</v>
      </c>
      <c r="S18" s="10">
        <v>48</v>
      </c>
      <c r="T18" s="10">
        <v>30</v>
      </c>
      <c r="U18" s="10">
        <f t="shared" si="5"/>
        <v>9595</v>
      </c>
      <c r="V18" s="10">
        <v>47574</v>
      </c>
      <c r="W18" s="17"/>
      <c r="X18" s="17"/>
      <c r="Y18" s="17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s="13" customFormat="1" ht="11.25">
      <c r="A19" s="9" t="s">
        <v>38</v>
      </c>
      <c r="B19" s="10">
        <v>394</v>
      </c>
      <c r="C19" s="10">
        <v>221</v>
      </c>
      <c r="D19" s="10">
        <v>213</v>
      </c>
      <c r="E19" s="10">
        <v>57</v>
      </c>
      <c r="F19" s="10">
        <v>49</v>
      </c>
      <c r="G19" s="10">
        <f t="shared" si="3"/>
        <v>934</v>
      </c>
      <c r="H19" s="10">
        <v>20714</v>
      </c>
      <c r="I19" s="10">
        <v>2468</v>
      </c>
      <c r="J19" s="10">
        <v>1568</v>
      </c>
      <c r="K19" s="10">
        <v>914</v>
      </c>
      <c r="L19" s="10">
        <v>67</v>
      </c>
      <c r="M19" s="10">
        <v>52</v>
      </c>
      <c r="N19" s="10">
        <f t="shared" si="4"/>
        <v>5069</v>
      </c>
      <c r="O19" s="10">
        <v>45026</v>
      </c>
      <c r="P19" s="10">
        <v>5228</v>
      </c>
      <c r="Q19" s="10">
        <v>3097</v>
      </c>
      <c r="R19" s="10">
        <v>1032</v>
      </c>
      <c r="S19" s="10">
        <v>43</v>
      </c>
      <c r="T19" s="10">
        <v>30</v>
      </c>
      <c r="U19" s="10">
        <f t="shared" si="5"/>
        <v>9430</v>
      </c>
      <c r="V19" s="10">
        <v>47868</v>
      </c>
      <c r="W19" s="17"/>
      <c r="X19" s="17"/>
      <c r="Y19" s="17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s="13" customFormat="1" ht="11.25">
      <c r="A20" s="9" t="s">
        <v>39</v>
      </c>
      <c r="B20" s="10">
        <v>381</v>
      </c>
      <c r="C20" s="10">
        <v>223</v>
      </c>
      <c r="D20" s="10">
        <v>205</v>
      </c>
      <c r="E20" s="10">
        <v>58</v>
      </c>
      <c r="F20" s="10">
        <v>46</v>
      </c>
      <c r="G20" s="10">
        <f t="shared" si="3"/>
        <v>913</v>
      </c>
      <c r="H20" s="10">
        <v>19854</v>
      </c>
      <c r="I20" s="10">
        <v>2351</v>
      </c>
      <c r="J20" s="10">
        <v>1547</v>
      </c>
      <c r="K20" s="10">
        <v>903</v>
      </c>
      <c r="L20" s="10">
        <v>67</v>
      </c>
      <c r="M20" s="10">
        <v>51</v>
      </c>
      <c r="N20" s="10">
        <f t="shared" si="4"/>
        <v>4919</v>
      </c>
      <c r="O20" s="10">
        <v>44354</v>
      </c>
      <c r="P20" s="10">
        <v>4982</v>
      </c>
      <c r="Q20" s="10">
        <v>3004</v>
      </c>
      <c r="R20" s="10">
        <v>1007</v>
      </c>
      <c r="S20" s="10">
        <v>42</v>
      </c>
      <c r="T20" s="10">
        <v>27</v>
      </c>
      <c r="U20" s="10">
        <f t="shared" si="5"/>
        <v>9062</v>
      </c>
      <c r="V20" s="10">
        <v>46491</v>
      </c>
      <c r="W20" s="17"/>
      <c r="X20" s="17"/>
      <c r="Y20" s="17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s="13" customFormat="1" ht="11.25">
      <c r="A21" s="9" t="s">
        <v>40</v>
      </c>
      <c r="B21" s="10">
        <v>398</v>
      </c>
      <c r="C21" s="10">
        <v>224</v>
      </c>
      <c r="D21" s="10">
        <v>203</v>
      </c>
      <c r="E21" s="10">
        <v>55</v>
      </c>
      <c r="F21" s="10">
        <v>48</v>
      </c>
      <c r="G21" s="10">
        <f t="shared" si="3"/>
        <v>928</v>
      </c>
      <c r="H21" s="10">
        <v>25128</v>
      </c>
      <c r="I21" s="10">
        <v>2431</v>
      </c>
      <c r="J21" s="10">
        <v>1490</v>
      </c>
      <c r="K21" s="10">
        <v>825</v>
      </c>
      <c r="L21" s="10">
        <v>67</v>
      </c>
      <c r="M21" s="10">
        <v>55</v>
      </c>
      <c r="N21" s="10">
        <f t="shared" si="4"/>
        <v>4868</v>
      </c>
      <c r="O21" s="10">
        <v>42165</v>
      </c>
      <c r="P21" s="10">
        <v>5079</v>
      </c>
      <c r="Q21" s="10">
        <v>2845</v>
      </c>
      <c r="R21" s="10">
        <v>910</v>
      </c>
      <c r="S21" s="10">
        <v>47</v>
      </c>
      <c r="T21" s="10">
        <v>26</v>
      </c>
      <c r="U21" s="10">
        <f t="shared" si="5"/>
        <v>8907</v>
      </c>
      <c r="V21" s="10">
        <v>43457</v>
      </c>
      <c r="W21" s="17"/>
      <c r="X21" s="17"/>
      <c r="Y21" s="17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s="13" customFormat="1" ht="11.25">
      <c r="A22" s="9" t="s">
        <v>41</v>
      </c>
      <c r="B22" s="10">
        <v>395</v>
      </c>
      <c r="C22" s="10">
        <v>230</v>
      </c>
      <c r="D22" s="10">
        <v>199</v>
      </c>
      <c r="E22" s="10">
        <v>57</v>
      </c>
      <c r="F22" s="10">
        <v>47</v>
      </c>
      <c r="G22" s="10">
        <f t="shared" si="3"/>
        <v>928</v>
      </c>
      <c r="H22" s="10">
        <v>25058</v>
      </c>
      <c r="I22" s="10">
        <v>2469</v>
      </c>
      <c r="J22" s="10">
        <v>1474</v>
      </c>
      <c r="K22" s="10">
        <v>799</v>
      </c>
      <c r="L22" s="10">
        <v>65</v>
      </c>
      <c r="M22" s="10">
        <v>50</v>
      </c>
      <c r="N22" s="10">
        <f t="shared" si="4"/>
        <v>4857</v>
      </c>
      <c r="O22" s="10">
        <v>41415</v>
      </c>
      <c r="P22" s="10">
        <v>5054</v>
      </c>
      <c r="Q22" s="10">
        <v>2738</v>
      </c>
      <c r="R22" s="10">
        <v>861</v>
      </c>
      <c r="S22" s="10">
        <v>46</v>
      </c>
      <c r="T22" s="10">
        <v>26</v>
      </c>
      <c r="U22" s="10">
        <f t="shared" si="5"/>
        <v>8725</v>
      </c>
      <c r="V22" s="10">
        <v>41967</v>
      </c>
      <c r="W22" s="17"/>
      <c r="X22" s="17"/>
      <c r="Y22" s="17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s="13" customFormat="1" ht="11.25">
      <c r="A23" s="9" t="s">
        <v>42</v>
      </c>
      <c r="B23" s="16">
        <v>400</v>
      </c>
      <c r="C23" s="16">
        <v>240</v>
      </c>
      <c r="D23" s="16">
        <v>184</v>
      </c>
      <c r="E23" s="16">
        <v>56</v>
      </c>
      <c r="F23" s="16">
        <v>43</v>
      </c>
      <c r="G23" s="16">
        <f t="shared" si="3"/>
        <v>923</v>
      </c>
      <c r="H23" s="16">
        <v>17861</v>
      </c>
      <c r="I23" s="16">
        <v>2452</v>
      </c>
      <c r="J23" s="16">
        <v>1519</v>
      </c>
      <c r="K23" s="16">
        <v>797</v>
      </c>
      <c r="L23" s="16">
        <v>61</v>
      </c>
      <c r="M23" s="16">
        <v>49</v>
      </c>
      <c r="N23" s="16">
        <f t="shared" si="4"/>
        <v>4878</v>
      </c>
      <c r="O23" s="16">
        <v>40916</v>
      </c>
      <c r="P23" s="16">
        <v>5044</v>
      </c>
      <c r="Q23" s="16">
        <v>2746</v>
      </c>
      <c r="R23" s="16">
        <v>832</v>
      </c>
      <c r="S23" s="16">
        <v>47</v>
      </c>
      <c r="T23" s="16">
        <v>23</v>
      </c>
      <c r="U23" s="16">
        <f t="shared" si="5"/>
        <v>8692</v>
      </c>
      <c r="V23" s="16">
        <v>41028</v>
      </c>
      <c r="W23" s="17"/>
      <c r="X23" s="17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s="13" customFormat="1" ht="11.25">
      <c r="A24" s="9"/>
      <c r="B24" s="12"/>
      <c r="C24" s="12"/>
      <c r="D24" s="12"/>
      <c r="E24" s="12"/>
      <c r="F24" s="12"/>
      <c r="G24" s="10"/>
      <c r="H24" s="1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s="13" customFormat="1" ht="11.25">
      <c r="A25" s="1" t="s">
        <v>1</v>
      </c>
      <c r="B25" s="2"/>
      <c r="C25" s="2"/>
      <c r="D25" s="2"/>
      <c r="E25" s="2" t="s">
        <v>46</v>
      </c>
      <c r="F25" s="2"/>
      <c r="G25" s="2"/>
      <c r="H25" s="3"/>
      <c r="I25" s="2"/>
      <c r="J25" s="2"/>
      <c r="K25" s="2"/>
      <c r="L25" s="2" t="s">
        <v>15</v>
      </c>
      <c r="M25" s="2"/>
      <c r="N25" s="2"/>
      <c r="O25" s="3"/>
      <c r="P25" s="2"/>
      <c r="Q25" s="2"/>
      <c r="R25" s="2"/>
      <c r="S25" s="2" t="s">
        <v>17</v>
      </c>
      <c r="T25" s="2"/>
      <c r="U25" s="2"/>
      <c r="V25" s="3"/>
      <c r="W25" s="17"/>
      <c r="X25" s="17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13" customFormat="1" ht="33.75">
      <c r="A26" s="5"/>
      <c r="B26" s="6" t="s">
        <v>29</v>
      </c>
      <c r="C26" s="6" t="s">
        <v>30</v>
      </c>
      <c r="D26" s="6" t="s">
        <v>5</v>
      </c>
      <c r="E26" s="6" t="s">
        <v>6</v>
      </c>
      <c r="F26" s="6" t="s">
        <v>20</v>
      </c>
      <c r="G26" s="6" t="s">
        <v>8</v>
      </c>
      <c r="H26" s="7" t="s">
        <v>9</v>
      </c>
      <c r="I26" s="6" t="s">
        <v>29</v>
      </c>
      <c r="J26" s="6" t="s">
        <v>30</v>
      </c>
      <c r="K26" s="6" t="s">
        <v>5</v>
      </c>
      <c r="L26" s="6" t="s">
        <v>6</v>
      </c>
      <c r="M26" s="6" t="s">
        <v>7</v>
      </c>
      <c r="N26" s="6" t="s">
        <v>8</v>
      </c>
      <c r="O26" s="7" t="s">
        <v>9</v>
      </c>
      <c r="P26" s="6" t="s">
        <v>29</v>
      </c>
      <c r="Q26" s="6" t="s">
        <v>30</v>
      </c>
      <c r="R26" s="6" t="s">
        <v>5</v>
      </c>
      <c r="S26" s="6" t="s">
        <v>6</v>
      </c>
      <c r="T26" s="6" t="s">
        <v>7</v>
      </c>
      <c r="U26" s="6" t="s">
        <v>8</v>
      </c>
      <c r="V26" s="7" t="s">
        <v>9</v>
      </c>
      <c r="W26" s="17"/>
      <c r="X26" s="17"/>
      <c r="Y26" s="17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s="13" customFormat="1" ht="11.25">
      <c r="A27" s="9" t="s">
        <v>35</v>
      </c>
      <c r="B27" s="10">
        <v>4641</v>
      </c>
      <c r="C27" s="10">
        <v>1084</v>
      </c>
      <c r="D27" s="10">
        <v>195</v>
      </c>
      <c r="E27" s="10">
        <v>12</v>
      </c>
      <c r="F27" s="10">
        <v>6</v>
      </c>
      <c r="G27" s="10">
        <f>SUM(B27:F27)</f>
        <v>5938</v>
      </c>
      <c r="H27" s="10">
        <v>15688</v>
      </c>
      <c r="I27" s="10">
        <v>14999</v>
      </c>
      <c r="J27" s="10">
        <v>3803</v>
      </c>
      <c r="K27" s="10">
        <v>463</v>
      </c>
      <c r="L27" s="10">
        <v>13</v>
      </c>
      <c r="M27" s="10">
        <v>6</v>
      </c>
      <c r="N27" s="10">
        <f>SUM(I27:M27)</f>
        <v>19284</v>
      </c>
      <c r="O27" s="10">
        <v>44511</v>
      </c>
      <c r="P27" s="10">
        <v>2998</v>
      </c>
      <c r="Q27" s="10">
        <v>328</v>
      </c>
      <c r="R27" s="10">
        <v>64</v>
      </c>
      <c r="S27" s="10">
        <v>5</v>
      </c>
      <c r="T27" s="10">
        <v>4</v>
      </c>
      <c r="U27" s="10">
        <f>SUM(P27:T27)</f>
        <v>3399</v>
      </c>
      <c r="V27" s="10">
        <v>8238</v>
      </c>
      <c r="W27" s="17"/>
      <c r="X27" s="17"/>
      <c r="Y27" s="1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s="13" customFormat="1" ht="11.25">
      <c r="A28" s="9" t="s">
        <v>36</v>
      </c>
      <c r="B28" s="10">
        <v>4652</v>
      </c>
      <c r="C28" s="10">
        <v>1157</v>
      </c>
      <c r="D28" s="10">
        <v>205</v>
      </c>
      <c r="E28" s="10">
        <v>11</v>
      </c>
      <c r="F28" s="10">
        <v>7</v>
      </c>
      <c r="G28" s="10">
        <f aca="true" t="shared" si="6" ref="G28:G34">SUM(B28:F28)</f>
        <v>6032</v>
      </c>
      <c r="H28" s="10">
        <v>16753</v>
      </c>
      <c r="I28" s="10">
        <v>14786</v>
      </c>
      <c r="J28" s="10">
        <v>4079</v>
      </c>
      <c r="K28" s="10">
        <v>505</v>
      </c>
      <c r="L28" s="10">
        <v>17</v>
      </c>
      <c r="M28" s="10">
        <v>9</v>
      </c>
      <c r="N28" s="10">
        <f aca="true" t="shared" si="7" ref="N28:N34">SUM(I28:M28)</f>
        <v>19396</v>
      </c>
      <c r="O28" s="10">
        <v>48265</v>
      </c>
      <c r="P28" s="10">
        <v>2987</v>
      </c>
      <c r="Q28" s="10">
        <v>344</v>
      </c>
      <c r="R28" s="10">
        <v>70</v>
      </c>
      <c r="S28" s="10">
        <v>4</v>
      </c>
      <c r="T28" s="10">
        <v>6</v>
      </c>
      <c r="U28" s="10">
        <f aca="true" t="shared" si="8" ref="U28:U34">SUM(P28:T28)</f>
        <v>3411</v>
      </c>
      <c r="V28" s="10">
        <v>8641</v>
      </c>
      <c r="W28" s="17"/>
      <c r="X28" s="17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s="13" customFormat="1" ht="11.25">
      <c r="A29" s="9" t="s">
        <v>37</v>
      </c>
      <c r="B29" s="10">
        <v>4844</v>
      </c>
      <c r="C29" s="10">
        <v>1078</v>
      </c>
      <c r="D29" s="10">
        <v>199</v>
      </c>
      <c r="E29" s="10">
        <v>11</v>
      </c>
      <c r="F29" s="10">
        <v>7</v>
      </c>
      <c r="G29" s="10">
        <f t="shared" si="6"/>
        <v>6139</v>
      </c>
      <c r="H29" s="10">
        <v>16106</v>
      </c>
      <c r="I29" s="10">
        <v>15076</v>
      </c>
      <c r="J29" s="10">
        <v>3770</v>
      </c>
      <c r="K29" s="10">
        <v>478</v>
      </c>
      <c r="L29" s="10">
        <v>16</v>
      </c>
      <c r="M29" s="10">
        <v>7</v>
      </c>
      <c r="N29" s="10">
        <f t="shared" si="7"/>
        <v>19347</v>
      </c>
      <c r="O29" s="10">
        <v>44718</v>
      </c>
      <c r="P29" s="10">
        <v>2981</v>
      </c>
      <c r="Q29" s="10">
        <v>324</v>
      </c>
      <c r="R29" s="10">
        <v>71</v>
      </c>
      <c r="S29" s="10">
        <v>4</v>
      </c>
      <c r="T29" s="10">
        <v>6</v>
      </c>
      <c r="U29" s="10">
        <f t="shared" si="8"/>
        <v>3386</v>
      </c>
      <c r="V29" s="10">
        <v>8364</v>
      </c>
      <c r="W29" s="17"/>
      <c r="X29" s="17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s="13" customFormat="1" ht="11.25">
      <c r="A30" s="9" t="s">
        <v>38</v>
      </c>
      <c r="B30" s="10">
        <v>4756</v>
      </c>
      <c r="C30" s="10">
        <v>1193</v>
      </c>
      <c r="D30" s="10">
        <v>217</v>
      </c>
      <c r="E30" s="10">
        <v>10</v>
      </c>
      <c r="F30" s="10">
        <v>7</v>
      </c>
      <c r="G30" s="10">
        <f t="shared" si="6"/>
        <v>6183</v>
      </c>
      <c r="H30" s="10">
        <v>16909</v>
      </c>
      <c r="I30" s="10">
        <v>14617</v>
      </c>
      <c r="J30" s="10">
        <v>4048</v>
      </c>
      <c r="K30" s="10">
        <v>509</v>
      </c>
      <c r="L30" s="10">
        <v>22</v>
      </c>
      <c r="M30" s="10">
        <v>6</v>
      </c>
      <c r="N30" s="10">
        <f t="shared" si="7"/>
        <v>19202</v>
      </c>
      <c r="O30" s="10">
        <v>46793</v>
      </c>
      <c r="P30" s="10">
        <v>2920</v>
      </c>
      <c r="Q30" s="10">
        <v>336</v>
      </c>
      <c r="R30" s="10">
        <v>75</v>
      </c>
      <c r="S30" s="10">
        <v>5</v>
      </c>
      <c r="T30" s="10">
        <v>7</v>
      </c>
      <c r="U30" s="10">
        <f t="shared" si="8"/>
        <v>3343</v>
      </c>
      <c r="V30" s="10">
        <v>8716</v>
      </c>
      <c r="W30" s="17"/>
      <c r="X30" s="17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s="13" customFormat="1" ht="11.25">
      <c r="A31" s="9" t="s">
        <v>39</v>
      </c>
      <c r="B31" s="10">
        <v>4634</v>
      </c>
      <c r="C31" s="10">
        <v>1239</v>
      </c>
      <c r="D31" s="10">
        <v>212</v>
      </c>
      <c r="E31" s="10">
        <v>10</v>
      </c>
      <c r="F31" s="10">
        <v>6</v>
      </c>
      <c r="G31" s="10">
        <f t="shared" si="6"/>
        <v>6101</v>
      </c>
      <c r="H31" s="10">
        <v>16620</v>
      </c>
      <c r="I31" s="10">
        <v>14272</v>
      </c>
      <c r="J31" s="10">
        <v>3972</v>
      </c>
      <c r="K31" s="10">
        <v>508</v>
      </c>
      <c r="L31" s="10">
        <v>22</v>
      </c>
      <c r="M31" s="10">
        <v>6</v>
      </c>
      <c r="N31" s="10">
        <f t="shared" si="7"/>
        <v>18780</v>
      </c>
      <c r="O31" s="10">
        <v>46354</v>
      </c>
      <c r="P31" s="10">
        <v>2853</v>
      </c>
      <c r="Q31" s="10">
        <v>335</v>
      </c>
      <c r="R31" s="10">
        <v>70</v>
      </c>
      <c r="S31" s="10">
        <v>4</v>
      </c>
      <c r="T31" s="10">
        <v>7</v>
      </c>
      <c r="U31" s="10">
        <f t="shared" si="8"/>
        <v>3269</v>
      </c>
      <c r="V31" s="10">
        <v>8487</v>
      </c>
      <c r="W31" s="17"/>
      <c r="X31" s="17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s="13" customFormat="1" ht="11.25">
      <c r="A32" s="9" t="s">
        <v>40</v>
      </c>
      <c r="B32" s="10">
        <v>4520</v>
      </c>
      <c r="C32" s="10">
        <v>1211</v>
      </c>
      <c r="D32" s="10">
        <v>193</v>
      </c>
      <c r="E32" s="10">
        <v>11</v>
      </c>
      <c r="F32" s="10">
        <v>7</v>
      </c>
      <c r="G32" s="10">
        <f t="shared" si="6"/>
        <v>5942</v>
      </c>
      <c r="H32" s="10">
        <v>16224</v>
      </c>
      <c r="I32" s="10">
        <v>14230</v>
      </c>
      <c r="J32" s="10">
        <v>3913</v>
      </c>
      <c r="K32" s="10">
        <v>509</v>
      </c>
      <c r="L32" s="10">
        <v>22</v>
      </c>
      <c r="M32" s="10">
        <v>5</v>
      </c>
      <c r="N32" s="10">
        <f t="shared" si="7"/>
        <v>18679</v>
      </c>
      <c r="O32" s="10">
        <v>45781</v>
      </c>
      <c r="P32" s="10">
        <v>2810</v>
      </c>
      <c r="Q32" s="10">
        <v>332</v>
      </c>
      <c r="R32" s="10">
        <v>66</v>
      </c>
      <c r="S32" s="10">
        <v>8</v>
      </c>
      <c r="T32" s="10">
        <v>7</v>
      </c>
      <c r="U32" s="10">
        <f t="shared" si="8"/>
        <v>3223</v>
      </c>
      <c r="V32" s="10">
        <v>8535</v>
      </c>
      <c r="W32" s="17"/>
      <c r="X32" s="17"/>
      <c r="Y32" s="1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13" customFormat="1" ht="11.25">
      <c r="A33" s="9" t="s">
        <v>41</v>
      </c>
      <c r="B33" s="10">
        <v>4529</v>
      </c>
      <c r="C33" s="10">
        <v>1178</v>
      </c>
      <c r="D33" s="10">
        <v>190</v>
      </c>
      <c r="E33" s="10">
        <v>11</v>
      </c>
      <c r="F33" s="10">
        <v>7</v>
      </c>
      <c r="G33" s="10">
        <f t="shared" si="6"/>
        <v>5915</v>
      </c>
      <c r="H33" s="10">
        <v>16001</v>
      </c>
      <c r="I33" s="10">
        <v>14099</v>
      </c>
      <c r="J33" s="10">
        <v>3839</v>
      </c>
      <c r="K33" s="10">
        <v>502</v>
      </c>
      <c r="L33" s="10">
        <v>23</v>
      </c>
      <c r="M33" s="10">
        <v>6</v>
      </c>
      <c r="N33" s="10">
        <f t="shared" si="7"/>
        <v>18469</v>
      </c>
      <c r="O33" s="10">
        <v>45412</v>
      </c>
      <c r="P33" s="10">
        <v>2749</v>
      </c>
      <c r="Q33" s="10">
        <v>333</v>
      </c>
      <c r="R33" s="10">
        <v>73</v>
      </c>
      <c r="S33" s="10">
        <v>9</v>
      </c>
      <c r="T33" s="10">
        <v>6</v>
      </c>
      <c r="U33" s="10">
        <f t="shared" si="8"/>
        <v>3170</v>
      </c>
      <c r="V33" s="10">
        <v>8168</v>
      </c>
      <c r="W33" s="17"/>
      <c r="X33" s="17"/>
      <c r="Y33" s="1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s="13" customFormat="1" ht="11.25">
      <c r="A34" s="9" t="s">
        <v>42</v>
      </c>
      <c r="B34" s="16">
        <v>4610</v>
      </c>
      <c r="C34" s="16">
        <v>1169</v>
      </c>
      <c r="D34" s="16">
        <v>198</v>
      </c>
      <c r="E34" s="16">
        <v>10</v>
      </c>
      <c r="F34" s="16">
        <v>5</v>
      </c>
      <c r="G34" s="16">
        <f t="shared" si="6"/>
        <v>5992</v>
      </c>
      <c r="H34" s="16">
        <v>15212</v>
      </c>
      <c r="I34" s="16">
        <v>14115</v>
      </c>
      <c r="J34" s="16">
        <v>3883</v>
      </c>
      <c r="K34" s="16">
        <v>498</v>
      </c>
      <c r="L34" s="16">
        <v>21</v>
      </c>
      <c r="M34" s="16">
        <v>6</v>
      </c>
      <c r="N34" s="16">
        <f t="shared" si="7"/>
        <v>18523</v>
      </c>
      <c r="O34" s="16">
        <v>46518</v>
      </c>
      <c r="P34" s="16">
        <v>2716</v>
      </c>
      <c r="Q34" s="16">
        <v>329</v>
      </c>
      <c r="R34" s="16">
        <v>78</v>
      </c>
      <c r="S34" s="16">
        <v>8</v>
      </c>
      <c r="T34" s="16">
        <v>3</v>
      </c>
      <c r="U34" s="16">
        <f t="shared" si="8"/>
        <v>3134</v>
      </c>
      <c r="V34" s="16">
        <v>7207</v>
      </c>
      <c r="W34" s="17"/>
      <c r="X34" s="17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s="13" customFormat="1" ht="11.25">
      <c r="A35" s="9"/>
      <c r="B35" s="12"/>
      <c r="C35" s="12"/>
      <c r="D35" s="12"/>
      <c r="E35" s="12"/>
      <c r="F35" s="12"/>
      <c r="G35" s="10"/>
      <c r="H35" s="1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7"/>
      <c r="Y35" s="17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s="13" customFormat="1" ht="11.25">
      <c r="A36" s="1" t="s">
        <v>1</v>
      </c>
      <c r="B36" s="2"/>
      <c r="C36" s="2"/>
      <c r="D36" s="2"/>
      <c r="E36" s="2" t="s">
        <v>47</v>
      </c>
      <c r="F36" s="2"/>
      <c r="G36" s="2"/>
      <c r="H36" s="3"/>
      <c r="I36" s="2"/>
      <c r="J36" s="2"/>
      <c r="K36" s="2"/>
      <c r="L36" s="2" t="s">
        <v>48</v>
      </c>
      <c r="M36" s="2"/>
      <c r="N36" s="2"/>
      <c r="O36" s="3"/>
      <c r="P36" s="2"/>
      <c r="Q36" s="2"/>
      <c r="R36" s="2"/>
      <c r="S36" s="2" t="s">
        <v>25</v>
      </c>
      <c r="T36" s="2"/>
      <c r="U36" s="2"/>
      <c r="V36" s="3"/>
      <c r="W36" s="17"/>
      <c r="X36" s="17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s="13" customFormat="1" ht="33.75">
      <c r="A37" s="5"/>
      <c r="B37" s="6" t="s">
        <v>29</v>
      </c>
      <c r="C37" s="6" t="s">
        <v>30</v>
      </c>
      <c r="D37" s="6" t="s">
        <v>5</v>
      </c>
      <c r="E37" s="6" t="s">
        <v>6</v>
      </c>
      <c r="F37" s="6" t="s">
        <v>7</v>
      </c>
      <c r="G37" s="6" t="s">
        <v>8</v>
      </c>
      <c r="H37" s="7" t="s">
        <v>9</v>
      </c>
      <c r="I37" s="6" t="s">
        <v>29</v>
      </c>
      <c r="J37" s="6" t="s">
        <v>30</v>
      </c>
      <c r="K37" s="6" t="s">
        <v>5</v>
      </c>
      <c r="L37" s="6" t="s">
        <v>6</v>
      </c>
      <c r="M37" s="6" t="s">
        <v>7</v>
      </c>
      <c r="N37" s="6" t="s">
        <v>8</v>
      </c>
      <c r="O37" s="7" t="s">
        <v>9</v>
      </c>
      <c r="P37" s="6" t="s">
        <v>29</v>
      </c>
      <c r="Q37" s="6" t="s">
        <v>30</v>
      </c>
      <c r="R37" s="6" t="s">
        <v>5</v>
      </c>
      <c r="S37" s="6" t="s">
        <v>6</v>
      </c>
      <c r="T37" s="6" t="s">
        <v>7</v>
      </c>
      <c r="U37" s="6" t="s">
        <v>8</v>
      </c>
      <c r="V37" s="7" t="s">
        <v>9</v>
      </c>
      <c r="W37" s="17"/>
      <c r="X37" s="17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s="13" customFormat="1" ht="11.25">
      <c r="A38" s="9" t="s">
        <v>35</v>
      </c>
      <c r="B38" s="10">
        <v>3808</v>
      </c>
      <c r="C38" s="10">
        <v>777</v>
      </c>
      <c r="D38" s="10">
        <v>235</v>
      </c>
      <c r="E38" s="10">
        <v>12</v>
      </c>
      <c r="F38" s="10">
        <v>14</v>
      </c>
      <c r="G38" s="10">
        <f>SUM(B38:F38)</f>
        <v>4846</v>
      </c>
      <c r="H38" s="10">
        <v>16954</v>
      </c>
      <c r="I38" s="10">
        <v>2683</v>
      </c>
      <c r="J38" s="10">
        <v>548</v>
      </c>
      <c r="K38" s="10">
        <v>76</v>
      </c>
      <c r="L38" s="10">
        <v>7</v>
      </c>
      <c r="M38" s="10">
        <v>8</v>
      </c>
      <c r="N38" s="10">
        <f>SUM(I38:M38)</f>
        <v>3322</v>
      </c>
      <c r="O38" s="10">
        <v>9788</v>
      </c>
      <c r="P38" s="11">
        <f>B5+I5+P5+B16+I16+P16+B27+I27+P27+B38+I38</f>
        <v>41484</v>
      </c>
      <c r="Q38" s="11">
        <f aca="true" t="shared" si="9" ref="Q38:V38">C5+J5+Q5+C16+J16+Q16+C27+J27+Q27+C38+J38</f>
        <v>12247</v>
      </c>
      <c r="R38" s="11">
        <f t="shared" si="9"/>
        <v>3475</v>
      </c>
      <c r="S38" s="11">
        <f t="shared" si="9"/>
        <v>224</v>
      </c>
      <c r="T38" s="11">
        <f t="shared" si="9"/>
        <v>172</v>
      </c>
      <c r="U38" s="11">
        <f t="shared" si="9"/>
        <v>57602</v>
      </c>
      <c r="V38" s="11">
        <f t="shared" si="9"/>
        <v>223536</v>
      </c>
      <c r="W38" s="17"/>
      <c r="X38" s="17"/>
      <c r="Y38" s="17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s="13" customFormat="1" ht="11.25">
      <c r="A39" s="9" t="s">
        <v>36</v>
      </c>
      <c r="B39" s="10">
        <v>3913</v>
      </c>
      <c r="C39" s="10">
        <v>833</v>
      </c>
      <c r="D39" s="10">
        <v>217</v>
      </c>
      <c r="E39" s="10">
        <v>13</v>
      </c>
      <c r="F39" s="10">
        <v>13</v>
      </c>
      <c r="G39" s="10">
        <f aca="true" t="shared" si="10" ref="G39:G45">SUM(B39:F39)</f>
        <v>4989</v>
      </c>
      <c r="H39" s="10">
        <v>16511</v>
      </c>
      <c r="I39" s="10">
        <v>2680</v>
      </c>
      <c r="J39" s="10">
        <v>591</v>
      </c>
      <c r="K39" s="10">
        <v>76</v>
      </c>
      <c r="L39" s="10">
        <v>6</v>
      </c>
      <c r="M39" s="10">
        <v>8</v>
      </c>
      <c r="N39" s="10">
        <f aca="true" t="shared" si="11" ref="N39:N45">SUM(I39:M39)</f>
        <v>3361</v>
      </c>
      <c r="O39" s="10">
        <v>10128</v>
      </c>
      <c r="P39" s="11">
        <f aca="true" t="shared" si="12" ref="P39:V45">B6+I6+P6+B17+I17+P17+B28+I28+P28+B39+I39</f>
        <v>40928</v>
      </c>
      <c r="Q39" s="11">
        <f t="shared" si="12"/>
        <v>12874</v>
      </c>
      <c r="R39" s="11">
        <f t="shared" si="12"/>
        <v>3537</v>
      </c>
      <c r="S39" s="11">
        <f t="shared" si="12"/>
        <v>251</v>
      </c>
      <c r="T39" s="11">
        <f t="shared" si="12"/>
        <v>187</v>
      </c>
      <c r="U39" s="11">
        <f t="shared" si="12"/>
        <v>57777</v>
      </c>
      <c r="V39" s="11">
        <f t="shared" si="12"/>
        <v>234701</v>
      </c>
      <c r="W39" s="17"/>
      <c r="X39" s="17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s="13" customFormat="1" ht="11.25">
      <c r="A40" s="9" t="s">
        <v>37</v>
      </c>
      <c r="B40" s="10">
        <v>4141</v>
      </c>
      <c r="C40" s="10">
        <v>763</v>
      </c>
      <c r="D40" s="10">
        <v>216</v>
      </c>
      <c r="E40" s="10">
        <v>14</v>
      </c>
      <c r="F40" s="10">
        <v>9</v>
      </c>
      <c r="G40" s="10">
        <f t="shared" si="10"/>
        <v>5143</v>
      </c>
      <c r="H40" s="10">
        <v>15615</v>
      </c>
      <c r="I40" s="10">
        <v>2746</v>
      </c>
      <c r="J40" s="10">
        <v>557</v>
      </c>
      <c r="K40" s="10">
        <v>76</v>
      </c>
      <c r="L40" s="10">
        <v>5</v>
      </c>
      <c r="M40" s="10">
        <v>8</v>
      </c>
      <c r="N40" s="10">
        <f t="shared" si="11"/>
        <v>3392</v>
      </c>
      <c r="O40" s="10">
        <v>9777</v>
      </c>
      <c r="P40" s="11">
        <f t="shared" si="12"/>
        <v>41867</v>
      </c>
      <c r="Q40" s="11">
        <f t="shared" si="12"/>
        <v>12018</v>
      </c>
      <c r="R40" s="11">
        <f t="shared" si="12"/>
        <v>3397</v>
      </c>
      <c r="S40" s="11">
        <f t="shared" si="12"/>
        <v>250</v>
      </c>
      <c r="T40" s="11">
        <f t="shared" si="12"/>
        <v>180</v>
      </c>
      <c r="U40" s="11">
        <f t="shared" si="12"/>
        <v>57712</v>
      </c>
      <c r="V40" s="11">
        <f t="shared" si="12"/>
        <v>224496</v>
      </c>
      <c r="W40" s="17"/>
      <c r="X40" s="17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s="13" customFormat="1" ht="11.25">
      <c r="A41" s="9" t="s">
        <v>38</v>
      </c>
      <c r="B41" s="10">
        <v>4196</v>
      </c>
      <c r="C41" s="10">
        <v>879</v>
      </c>
      <c r="D41" s="10">
        <v>259</v>
      </c>
      <c r="E41" s="10">
        <v>12</v>
      </c>
      <c r="F41" s="10">
        <v>11</v>
      </c>
      <c r="G41" s="10">
        <f t="shared" si="10"/>
        <v>5357</v>
      </c>
      <c r="H41" s="10">
        <v>17262</v>
      </c>
      <c r="I41" s="10">
        <v>2700</v>
      </c>
      <c r="J41" s="10">
        <v>618</v>
      </c>
      <c r="K41" s="10">
        <v>79</v>
      </c>
      <c r="L41" s="10">
        <v>7</v>
      </c>
      <c r="M41" s="10">
        <v>8</v>
      </c>
      <c r="N41" s="10">
        <f t="shared" si="11"/>
        <v>3412</v>
      </c>
      <c r="O41" s="10">
        <v>10344</v>
      </c>
      <c r="P41" s="11">
        <f t="shared" si="12"/>
        <v>40823</v>
      </c>
      <c r="Q41" s="11">
        <f t="shared" si="12"/>
        <v>12758</v>
      </c>
      <c r="R41" s="11">
        <f t="shared" si="12"/>
        <v>3492</v>
      </c>
      <c r="S41" s="11">
        <f t="shared" si="12"/>
        <v>243</v>
      </c>
      <c r="T41" s="11">
        <f t="shared" si="12"/>
        <v>185</v>
      </c>
      <c r="U41" s="11">
        <f t="shared" si="12"/>
        <v>57501</v>
      </c>
      <c r="V41" s="11">
        <f t="shared" si="12"/>
        <v>228037</v>
      </c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s="13" customFormat="1" ht="11.25">
      <c r="A42" s="9" t="s">
        <v>39</v>
      </c>
      <c r="B42" s="10">
        <v>4226</v>
      </c>
      <c r="C42" s="10">
        <v>912</v>
      </c>
      <c r="D42" s="10">
        <v>264</v>
      </c>
      <c r="E42" s="10">
        <v>12</v>
      </c>
      <c r="F42" s="10">
        <v>10</v>
      </c>
      <c r="G42" s="10">
        <f t="shared" si="10"/>
        <v>5424</v>
      </c>
      <c r="H42" s="10">
        <v>17502</v>
      </c>
      <c r="I42" s="10">
        <v>2650</v>
      </c>
      <c r="J42" s="10">
        <v>621</v>
      </c>
      <c r="K42" s="10">
        <v>80</v>
      </c>
      <c r="L42" s="10">
        <v>7</v>
      </c>
      <c r="M42" s="10">
        <v>8</v>
      </c>
      <c r="N42" s="10">
        <f t="shared" si="11"/>
        <v>3366</v>
      </c>
      <c r="O42" s="10">
        <v>10386</v>
      </c>
      <c r="P42" s="11">
        <f t="shared" si="12"/>
        <v>39860</v>
      </c>
      <c r="Q42" s="11">
        <f t="shared" si="12"/>
        <v>12679</v>
      </c>
      <c r="R42" s="11">
        <f t="shared" si="12"/>
        <v>3458</v>
      </c>
      <c r="S42" s="11">
        <f t="shared" si="12"/>
        <v>245</v>
      </c>
      <c r="T42" s="11">
        <f t="shared" si="12"/>
        <v>178</v>
      </c>
      <c r="U42" s="11">
        <f t="shared" si="12"/>
        <v>56420</v>
      </c>
      <c r="V42" s="11">
        <f t="shared" si="12"/>
        <v>225432</v>
      </c>
      <c r="W42" s="17"/>
      <c r="X42" s="17"/>
      <c r="Y42" s="17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s="13" customFormat="1" ht="11.25">
      <c r="A43" s="9" t="s">
        <v>40</v>
      </c>
      <c r="B43" s="10">
        <v>4197</v>
      </c>
      <c r="C43" s="10">
        <v>974</v>
      </c>
      <c r="D43" s="10">
        <v>251</v>
      </c>
      <c r="E43" s="10">
        <v>16</v>
      </c>
      <c r="F43" s="10">
        <v>11</v>
      </c>
      <c r="G43" s="10">
        <f t="shared" si="10"/>
        <v>5449</v>
      </c>
      <c r="H43" s="10">
        <v>17927</v>
      </c>
      <c r="I43" s="10">
        <v>2658</v>
      </c>
      <c r="J43" s="10">
        <v>611</v>
      </c>
      <c r="K43" s="10">
        <v>73</v>
      </c>
      <c r="L43" s="10">
        <v>8</v>
      </c>
      <c r="M43" s="10">
        <v>9</v>
      </c>
      <c r="N43" s="10">
        <f t="shared" si="11"/>
        <v>3359</v>
      </c>
      <c r="O43" s="10">
        <v>10450</v>
      </c>
      <c r="P43" s="11">
        <f t="shared" si="12"/>
        <v>40036</v>
      </c>
      <c r="Q43" s="11">
        <f t="shared" si="12"/>
        <v>12362</v>
      </c>
      <c r="R43" s="11">
        <f t="shared" si="12"/>
        <v>3237</v>
      </c>
      <c r="S43" s="11">
        <f t="shared" si="12"/>
        <v>248</v>
      </c>
      <c r="T43" s="11">
        <f t="shared" si="12"/>
        <v>186</v>
      </c>
      <c r="U43" s="11">
        <f t="shared" si="12"/>
        <v>56069</v>
      </c>
      <c r="V43" s="11">
        <f t="shared" si="12"/>
        <v>225580</v>
      </c>
      <c r="W43" s="17"/>
      <c r="X43" s="17"/>
      <c r="Y43" s="17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s="13" customFormat="1" ht="11.25">
      <c r="A44" s="9" t="s">
        <v>41</v>
      </c>
      <c r="B44" s="10">
        <v>4313</v>
      </c>
      <c r="C44" s="10">
        <v>983</v>
      </c>
      <c r="D44" s="10">
        <v>252</v>
      </c>
      <c r="E44" s="10">
        <v>16</v>
      </c>
      <c r="F44" s="10">
        <v>10</v>
      </c>
      <c r="G44" s="10">
        <f t="shared" si="10"/>
        <v>5574</v>
      </c>
      <c r="H44" s="10">
        <v>18014</v>
      </c>
      <c r="I44" s="10">
        <v>2657</v>
      </c>
      <c r="J44" s="10">
        <v>608</v>
      </c>
      <c r="K44" s="10">
        <v>69</v>
      </c>
      <c r="L44" s="10">
        <v>8</v>
      </c>
      <c r="M44" s="10">
        <v>8</v>
      </c>
      <c r="N44" s="10">
        <f t="shared" si="11"/>
        <v>3350</v>
      </c>
      <c r="O44" s="10">
        <v>10133</v>
      </c>
      <c r="P44" s="11">
        <f t="shared" si="12"/>
        <v>40108</v>
      </c>
      <c r="Q44" s="11">
        <f t="shared" si="12"/>
        <v>12160</v>
      </c>
      <c r="R44" s="11">
        <f t="shared" si="12"/>
        <v>3145</v>
      </c>
      <c r="S44" s="11">
        <f t="shared" si="12"/>
        <v>249</v>
      </c>
      <c r="T44" s="11">
        <f t="shared" si="12"/>
        <v>177</v>
      </c>
      <c r="U44" s="11">
        <f t="shared" si="12"/>
        <v>55839</v>
      </c>
      <c r="V44" s="11">
        <f t="shared" si="12"/>
        <v>222148</v>
      </c>
      <c r="W44" s="17"/>
      <c r="X44" s="17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s="13" customFormat="1" ht="11.25">
      <c r="A45" s="9" t="s">
        <v>42</v>
      </c>
      <c r="B45" s="16">
        <v>4434</v>
      </c>
      <c r="C45" s="16">
        <v>1013</v>
      </c>
      <c r="D45" s="16">
        <v>254</v>
      </c>
      <c r="E45" s="16">
        <v>17</v>
      </c>
      <c r="F45" s="16">
        <v>11</v>
      </c>
      <c r="G45" s="16">
        <f t="shared" si="10"/>
        <v>5729</v>
      </c>
      <c r="H45" s="16">
        <v>18583</v>
      </c>
      <c r="I45" s="16">
        <v>2667</v>
      </c>
      <c r="J45" s="16">
        <v>629</v>
      </c>
      <c r="K45" s="16">
        <v>77</v>
      </c>
      <c r="L45" s="16">
        <v>6</v>
      </c>
      <c r="M45" s="16">
        <v>9</v>
      </c>
      <c r="N45" s="16">
        <f t="shared" si="11"/>
        <v>3388</v>
      </c>
      <c r="O45" s="16">
        <v>10386</v>
      </c>
      <c r="P45" s="11">
        <f t="shared" si="12"/>
        <v>40444</v>
      </c>
      <c r="Q45" s="11">
        <f t="shared" si="12"/>
        <v>12364</v>
      </c>
      <c r="R45" s="11">
        <f t="shared" si="12"/>
        <v>3118</v>
      </c>
      <c r="S45" s="11">
        <f t="shared" si="12"/>
        <v>241</v>
      </c>
      <c r="T45" s="11">
        <f t="shared" si="12"/>
        <v>167</v>
      </c>
      <c r="U45" s="11">
        <f t="shared" si="12"/>
        <v>56334</v>
      </c>
      <c r="V45" s="11">
        <f t="shared" si="12"/>
        <v>214034</v>
      </c>
      <c r="W45" s="17"/>
      <c r="X45" s="17"/>
      <c r="Y45" s="17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7" ht="11.25">
      <c r="A47" s="19" t="s">
        <v>49</v>
      </c>
    </row>
    <row r="51" spans="2:8" ht="11.25">
      <c r="B51" s="15"/>
      <c r="C51" s="15"/>
      <c r="D51" s="15"/>
      <c r="E51" s="15"/>
      <c r="F51" s="15"/>
      <c r="G51" s="15"/>
      <c r="H51" s="15"/>
    </row>
    <row r="52" spans="2:8" ht="11.25">
      <c r="B52" s="15"/>
      <c r="C52" s="15"/>
      <c r="D52" s="15"/>
      <c r="E52" s="15"/>
      <c r="F52" s="15"/>
      <c r="G52" s="15"/>
      <c r="H52" s="15"/>
    </row>
    <row r="53" spans="2:8" ht="11.25">
      <c r="B53" s="15"/>
      <c r="C53" s="15"/>
      <c r="D53" s="15"/>
      <c r="E53" s="15"/>
      <c r="F53" s="15"/>
      <c r="G53" s="15"/>
      <c r="H53" s="15"/>
    </row>
    <row r="54" spans="2:8" ht="11.25">
      <c r="B54" s="15"/>
      <c r="C54" s="15"/>
      <c r="D54" s="15"/>
      <c r="E54" s="15"/>
      <c r="F54" s="15"/>
      <c r="G54" s="15"/>
      <c r="H54" s="15"/>
    </row>
  </sheetData>
  <sheetProtection/>
  <printOptions/>
  <pageMargins left="0.11811023622047245" right="0.11811023622047245" top="0.7874015748031497" bottom="0.3937007874015748" header="0.1968503937007874" footer="0.11811023622047245"/>
  <pageSetup fitToHeight="1" fitToWidth="1" horizontalDpi="300" verticalDpi="300" orientation="landscape" paperSize="9" scale="73" r:id="rId2"/>
  <headerFooter alignWithMargins="0">
    <oddFooter>&amp;CRdul.xls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9"/>
  <sheetViews>
    <sheetView showGridLines="0" zoomScale="75" zoomScaleNormal="75" zoomScalePageLayoutView="0" workbookViewId="0" topLeftCell="A4">
      <selection activeCell="B8" sqref="B8"/>
    </sheetView>
  </sheetViews>
  <sheetFormatPr defaultColWidth="9.140625" defaultRowHeight="12.75"/>
  <cols>
    <col min="1" max="1" width="9.140625" style="19" customWidth="1"/>
    <col min="2" max="5" width="8.57421875" style="19" customWidth="1"/>
    <col min="6" max="6" width="7.8515625" style="19" customWidth="1"/>
    <col min="7" max="22" width="8.57421875" style="19" customWidth="1"/>
    <col min="23" max="16384" width="9.140625" style="19" customWidth="1"/>
  </cols>
  <sheetData>
    <row r="2" spans="1:15" ht="20.25" customHeight="1">
      <c r="A2" s="23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4" spans="1:22" s="27" customFormat="1" ht="11.25">
      <c r="A4" s="24" t="s">
        <v>1</v>
      </c>
      <c r="B4" s="25" t="s">
        <v>2</v>
      </c>
      <c r="C4" s="25"/>
      <c r="D4" s="25"/>
      <c r="E4" s="25"/>
      <c r="F4" s="25"/>
      <c r="G4" s="25"/>
      <c r="H4" s="26"/>
      <c r="I4" s="25" t="s">
        <v>3</v>
      </c>
      <c r="J4" s="25"/>
      <c r="K4" s="25"/>
      <c r="L4" s="25"/>
      <c r="M4" s="25"/>
      <c r="N4" s="25"/>
      <c r="O4" s="26"/>
      <c r="P4" s="25" t="s">
        <v>4</v>
      </c>
      <c r="Q4" s="25"/>
      <c r="R4" s="25"/>
      <c r="S4" s="25"/>
      <c r="T4" s="25"/>
      <c r="U4" s="25"/>
      <c r="V4" s="26"/>
    </row>
    <row r="5" spans="1:22" s="8" customFormat="1" ht="33.75">
      <c r="A5" s="5"/>
      <c r="B5" s="6" t="s">
        <v>29</v>
      </c>
      <c r="C5" s="6" t="s">
        <v>30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6" t="s">
        <v>29</v>
      </c>
      <c r="J5" s="6" t="s">
        <v>30</v>
      </c>
      <c r="K5" s="6" t="s">
        <v>5</v>
      </c>
      <c r="L5" s="6" t="s">
        <v>6</v>
      </c>
      <c r="M5" s="6" t="s">
        <v>7</v>
      </c>
      <c r="N5" s="6" t="s">
        <v>8</v>
      </c>
      <c r="O5" s="7" t="s">
        <v>9</v>
      </c>
      <c r="P5" s="6" t="s">
        <v>29</v>
      </c>
      <c r="Q5" s="6" t="s">
        <v>30</v>
      </c>
      <c r="R5" s="6" t="s">
        <v>5</v>
      </c>
      <c r="S5" s="6" t="s">
        <v>6</v>
      </c>
      <c r="T5" s="6" t="s">
        <v>7</v>
      </c>
      <c r="U5" s="6" t="s">
        <v>8</v>
      </c>
      <c r="V5" s="7" t="s">
        <v>9</v>
      </c>
    </row>
    <row r="6" spans="1:31" s="15" customFormat="1" ht="11.25">
      <c r="A6" s="28" t="s">
        <v>10</v>
      </c>
      <c r="B6" s="12">
        <v>812</v>
      </c>
      <c r="C6" s="12">
        <v>141</v>
      </c>
      <c r="D6" s="12">
        <v>19</v>
      </c>
      <c r="E6" s="12">
        <v>0</v>
      </c>
      <c r="F6" s="12">
        <v>0</v>
      </c>
      <c r="G6" s="10">
        <f aca="true" t="shared" si="0" ref="G6:G13">SUM(B6:F6)</f>
        <v>972</v>
      </c>
      <c r="H6" s="12">
        <v>1681</v>
      </c>
      <c r="I6" s="16">
        <v>55</v>
      </c>
      <c r="J6" s="16">
        <v>26</v>
      </c>
      <c r="K6" s="16">
        <v>5</v>
      </c>
      <c r="L6" s="16">
        <v>0</v>
      </c>
      <c r="M6" s="16">
        <v>0</v>
      </c>
      <c r="N6" s="10">
        <f aca="true" t="shared" si="1" ref="N6:N13">SUM(I6:M6)</f>
        <v>86</v>
      </c>
      <c r="O6" s="16">
        <v>249</v>
      </c>
      <c r="P6" s="16">
        <v>7708</v>
      </c>
      <c r="Q6" s="16">
        <v>4330</v>
      </c>
      <c r="R6" s="16">
        <v>1741</v>
      </c>
      <c r="S6" s="16">
        <v>158</v>
      </c>
      <c r="T6" s="16">
        <v>119</v>
      </c>
      <c r="U6" s="10">
        <f aca="true" t="shared" si="2" ref="U6:U13">SUM(P6:T6)</f>
        <v>14056</v>
      </c>
      <c r="V6" s="16">
        <v>98643</v>
      </c>
      <c r="W6" s="29"/>
      <c r="X6" s="29"/>
      <c r="Y6" s="29"/>
      <c r="Z6" s="29"/>
      <c r="AA6" s="29"/>
      <c r="AB6" s="29"/>
      <c r="AC6" s="29"/>
      <c r="AD6" s="29"/>
      <c r="AE6" s="29"/>
    </row>
    <row r="7" spans="1:31" s="15" customFormat="1" ht="11.25">
      <c r="A7" s="28" t="s">
        <v>11</v>
      </c>
      <c r="B7" s="12">
        <v>824</v>
      </c>
      <c r="C7" s="12">
        <v>141</v>
      </c>
      <c r="D7" s="12">
        <v>17</v>
      </c>
      <c r="E7" s="12">
        <v>1</v>
      </c>
      <c r="F7" s="12">
        <v>0</v>
      </c>
      <c r="G7" s="10">
        <f t="shared" si="0"/>
        <v>983</v>
      </c>
      <c r="H7" s="12">
        <v>1687</v>
      </c>
      <c r="I7" s="16">
        <v>57</v>
      </c>
      <c r="J7" s="16">
        <v>28</v>
      </c>
      <c r="K7" s="16">
        <v>4</v>
      </c>
      <c r="L7" s="16">
        <v>0</v>
      </c>
      <c r="M7" s="16">
        <v>0</v>
      </c>
      <c r="N7" s="10">
        <f t="shared" si="1"/>
        <v>89</v>
      </c>
      <c r="O7" s="16">
        <v>258</v>
      </c>
      <c r="P7" s="16">
        <v>7849</v>
      </c>
      <c r="Q7" s="16">
        <v>4443</v>
      </c>
      <c r="R7" s="16">
        <v>1846</v>
      </c>
      <c r="S7" s="16">
        <v>168</v>
      </c>
      <c r="T7" s="16">
        <v>132</v>
      </c>
      <c r="U7" s="10">
        <f t="shared" si="2"/>
        <v>14438</v>
      </c>
      <c r="V7" s="16">
        <v>104524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5" customFormat="1" ht="11.25">
      <c r="A8" s="28" t="s">
        <v>12</v>
      </c>
      <c r="B8" s="12">
        <f>253+3+525+8+63</f>
        <v>852</v>
      </c>
      <c r="C8" s="12">
        <v>145</v>
      </c>
      <c r="D8" s="12">
        <v>21</v>
      </c>
      <c r="E8" s="12">
        <v>1</v>
      </c>
      <c r="F8" s="12">
        <v>0</v>
      </c>
      <c r="G8" s="10">
        <f t="shared" si="0"/>
        <v>1019</v>
      </c>
      <c r="H8" s="12">
        <f>1765+21</f>
        <v>1786</v>
      </c>
      <c r="I8" s="16">
        <v>58</v>
      </c>
      <c r="J8" s="16">
        <v>27</v>
      </c>
      <c r="K8" s="16">
        <v>4</v>
      </c>
      <c r="L8" s="16">
        <v>0</v>
      </c>
      <c r="M8" s="16">
        <v>0</v>
      </c>
      <c r="N8" s="10">
        <f t="shared" si="1"/>
        <v>89</v>
      </c>
      <c r="O8" s="16">
        <v>256</v>
      </c>
      <c r="P8" s="16">
        <f>968+3+5973+4+1008+1</f>
        <v>7957</v>
      </c>
      <c r="Q8" s="16">
        <v>4345</v>
      </c>
      <c r="R8" s="16">
        <v>1832</v>
      </c>
      <c r="S8" s="16">
        <v>165</v>
      </c>
      <c r="T8" s="16">
        <v>129</v>
      </c>
      <c r="U8" s="10">
        <f t="shared" si="2"/>
        <v>14428</v>
      </c>
      <c r="V8" s="16">
        <f>101058+1061+1009</f>
        <v>103128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3" customFormat="1" ht="11.25">
      <c r="A9" s="28" t="s">
        <v>13</v>
      </c>
      <c r="B9" s="12">
        <f>217+3+565+9+584+2</f>
        <v>1380</v>
      </c>
      <c r="C9" s="12">
        <v>152</v>
      </c>
      <c r="D9" s="12">
        <v>22</v>
      </c>
      <c r="E9" s="12">
        <v>0</v>
      </c>
      <c r="F9" s="12">
        <v>0</v>
      </c>
      <c r="G9" s="10">
        <f t="shared" si="0"/>
        <v>1554</v>
      </c>
      <c r="H9" s="12">
        <f>1781+20+584+2</f>
        <v>2387</v>
      </c>
      <c r="I9" s="16">
        <f>20+32+4</f>
        <v>56</v>
      </c>
      <c r="J9" s="16">
        <v>28</v>
      </c>
      <c r="K9" s="16">
        <v>6</v>
      </c>
      <c r="L9" s="16">
        <v>0</v>
      </c>
      <c r="M9" s="16">
        <v>0</v>
      </c>
      <c r="N9" s="10">
        <f t="shared" si="1"/>
        <v>90</v>
      </c>
      <c r="O9" s="16">
        <f>278+4</f>
        <v>282</v>
      </c>
      <c r="P9" s="16">
        <f>949+5935+3+945</f>
        <v>7832</v>
      </c>
      <c r="Q9" s="16">
        <f>4421+5</f>
        <v>4426</v>
      </c>
      <c r="R9" s="16">
        <v>1965</v>
      </c>
      <c r="S9" s="16">
        <v>164</v>
      </c>
      <c r="T9" s="16">
        <f>131+4+1+2</f>
        <v>138</v>
      </c>
      <c r="U9" s="10">
        <f t="shared" si="2"/>
        <v>14525</v>
      </c>
      <c r="V9" s="16">
        <f>106768+1115+945</f>
        <v>108828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1:31" s="13" customFormat="1" ht="11.25">
      <c r="A10" s="30">
        <v>35611</v>
      </c>
      <c r="B10" s="12">
        <f>211+3+581+8+12853+26</f>
        <v>13682</v>
      </c>
      <c r="C10" s="12">
        <f>143+1</f>
        <v>144</v>
      </c>
      <c r="D10" s="12">
        <f>22</f>
        <v>22</v>
      </c>
      <c r="E10" s="12">
        <v>0</v>
      </c>
      <c r="F10" s="12">
        <v>0</v>
      </c>
      <c r="G10" s="10">
        <f t="shared" si="0"/>
        <v>13848</v>
      </c>
      <c r="H10" s="12">
        <f>1779+19+12853+26</f>
        <v>14677</v>
      </c>
      <c r="I10" s="16">
        <f>19+32+5</f>
        <v>56</v>
      </c>
      <c r="J10" s="16">
        <v>27</v>
      </c>
      <c r="K10" s="16">
        <v>8</v>
      </c>
      <c r="L10" s="16">
        <v>0</v>
      </c>
      <c r="M10" s="16">
        <v>0</v>
      </c>
      <c r="N10" s="10">
        <f t="shared" si="1"/>
        <v>91</v>
      </c>
      <c r="O10" s="16">
        <f>293+5</f>
        <v>298</v>
      </c>
      <c r="P10" s="16">
        <f>936+0+5581+4+1330+3</f>
        <v>7854</v>
      </c>
      <c r="Q10" s="16">
        <f>4334+5</f>
        <v>4339</v>
      </c>
      <c r="R10" s="16">
        <f>1924+4</f>
        <v>1928</v>
      </c>
      <c r="S10" s="16">
        <v>161</v>
      </c>
      <c r="T10" s="16">
        <f>128+2+4+1+2</f>
        <v>137</v>
      </c>
      <c r="U10" s="10">
        <f t="shared" si="2"/>
        <v>14419</v>
      </c>
      <c r="V10" s="16">
        <f>104713+1116+1330+3</f>
        <v>107162</v>
      </c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3" customFormat="1" ht="11.25">
      <c r="A11" s="30">
        <v>35795</v>
      </c>
      <c r="B11" s="12">
        <f>412+6831+5+37+3+20+5675+32+12</f>
        <v>13027</v>
      </c>
      <c r="C11" s="12">
        <f>795+1+3</f>
        <v>799</v>
      </c>
      <c r="D11" s="12">
        <f>37</f>
        <v>37</v>
      </c>
      <c r="E11" s="12">
        <v>2</v>
      </c>
      <c r="F11" s="12">
        <v>0</v>
      </c>
      <c r="G11" s="10">
        <f t="shared" si="0"/>
        <v>13865</v>
      </c>
      <c r="H11" s="12">
        <f>12176+48+44+5675+32+12</f>
        <v>17987</v>
      </c>
      <c r="I11" s="16">
        <f>24+26+1</f>
        <v>51</v>
      </c>
      <c r="J11" s="16">
        <v>28</v>
      </c>
      <c r="K11" s="16">
        <v>8</v>
      </c>
      <c r="L11" s="16">
        <v>0</v>
      </c>
      <c r="M11" s="16">
        <v>0</v>
      </c>
      <c r="N11" s="10">
        <f t="shared" si="1"/>
        <v>87</v>
      </c>
      <c r="O11" s="16">
        <f>289+1+2</f>
        <v>292</v>
      </c>
      <c r="P11" s="16">
        <f>121+108+98+5+40+11+26+1+16+20+102+5+155+162+2+14+10+43+8+1+71+3+3+5+17+450+21+26+235+64+108+6+576+810+8+174+65+49+2+166+32+314+85+710+1098+599+125+149+185+13+29+22+26+20+18+77+4+243+141+1+29+9+25+10+2+75+1</f>
        <v>7849</v>
      </c>
      <c r="Q11" s="16">
        <f>609+860+488+55+170+40+129+2+44+79+178+27+731+476+9+107+48+104+21+5+190+7+3+3</f>
        <v>4385</v>
      </c>
      <c r="R11" s="16">
        <f>130+294+175+19+34+35+58+2+39+37+187+18+376+294+2+59+18+61+20+1+52+1+1+2</f>
        <v>1915</v>
      </c>
      <c r="S11" s="16">
        <f>16+8+12+3+2+5+10+7+36+1+10+38+9+2+8+3+2</f>
        <v>172</v>
      </c>
      <c r="T11" s="16">
        <f>12+5+1+1+4+2+2+3+44+1+6+27+2+4+10+2+1+3+1+1+1</f>
        <v>133</v>
      </c>
      <c r="U11" s="10">
        <f t="shared" si="2"/>
        <v>14454</v>
      </c>
      <c r="V11" s="16">
        <f>9682+12104+7381+816+1970+1770+2485+68+2140+2407+18364+744+12708+18369+90+2947+762+3652+4419+199+2335+72+1051+61+125+149+185+13+29+22+26+20+18+77+4+243+141+1+29+9+25+10+2+75+1</f>
        <v>107800</v>
      </c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3" customFormat="1" ht="11.25">
      <c r="A12" s="30">
        <v>35976</v>
      </c>
      <c r="B12" s="12">
        <f>374+6+5783+32+5445+24+3+20</f>
        <v>11687</v>
      </c>
      <c r="C12" s="12">
        <f>693+2</f>
        <v>695</v>
      </c>
      <c r="D12" s="12">
        <v>37</v>
      </c>
      <c r="E12" s="12">
        <v>4</v>
      </c>
      <c r="F12" s="12">
        <v>0</v>
      </c>
      <c r="G12" s="10">
        <f t="shared" si="0"/>
        <v>12423</v>
      </c>
      <c r="H12" s="12">
        <f>10718+43+5445+24+37+12</f>
        <v>16279</v>
      </c>
      <c r="I12" s="16">
        <f>21+27+1+5+1</f>
        <v>55</v>
      </c>
      <c r="J12" s="16">
        <v>27</v>
      </c>
      <c r="K12" s="16">
        <v>10</v>
      </c>
      <c r="L12" s="16">
        <v>0</v>
      </c>
      <c r="M12" s="16">
        <v>0</v>
      </c>
      <c r="N12" s="10">
        <f t="shared" si="1"/>
        <v>92</v>
      </c>
      <c r="O12" s="16">
        <f>287+34+5+1</f>
        <v>327</v>
      </c>
      <c r="P12" s="16">
        <f>118+102+90+4+43+7+27+1+14+18+97+6+154+160+2+18+9+41+8+1+67+2+15+430+20+24+221+66+104+7+552+759+9+169+59+47+1+158+32+305+79+672+1027+559+6+117+3+15+37+21+51+4+203+333+8+118+34+19+50+32+43+14+251+202+191+3+2+5</f>
        <v>8066</v>
      </c>
      <c r="Q12" s="16">
        <f>6+184+5+23+108+48+99+8+459+716+23+172+78+44+2+125+38+167+54+453+827+603+3+3</f>
        <v>4248</v>
      </c>
      <c r="R12" s="16">
        <f>1+51+1+20+60+19+55+2+295+365+18+188+36+40+2+58+35+33+19+169+282+128+2+1</f>
        <v>1880</v>
      </c>
      <c r="S12" s="16">
        <f>2+3+5+2+9+40+11+1+36+6+10+5+2+3+13+8+16</f>
        <v>172</v>
      </c>
      <c r="T12" s="16">
        <f>9+4+2+28+7+1+46+3+2+2+4+1+1+5+12+3+1+1+1+2+1</f>
        <v>136</v>
      </c>
      <c r="U12" s="10">
        <f t="shared" si="2"/>
        <v>14502</v>
      </c>
      <c r="V12" s="16">
        <f>62+2247+198+4106+3426+803+2862+87+18732+12609+723+18643+2317+2150+67+2452+1766+1933+803+7097+11694+9555+191+202+251+14+43+32+50+19+34+118+8+333+203+4+51+21+37+15+3+117+6+1051+64+1</f>
        <v>107200</v>
      </c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3" customFormat="1" ht="11.25">
      <c r="A13" s="30">
        <v>36160</v>
      </c>
      <c r="B13" s="12">
        <f>365+3+5619+18+5423+16</f>
        <v>11444</v>
      </c>
      <c r="C13" s="12">
        <f>690+2</f>
        <v>692</v>
      </c>
      <c r="D13" s="12">
        <v>37</v>
      </c>
      <c r="E13" s="12">
        <v>4</v>
      </c>
      <c r="F13" s="12">
        <v>0</v>
      </c>
      <c r="G13" s="10">
        <f t="shared" si="0"/>
        <v>12177</v>
      </c>
      <c r="H13" s="12">
        <f>10523+35+5423+16</f>
        <v>15997</v>
      </c>
      <c r="I13" s="16">
        <f>20+29+6</f>
        <v>55</v>
      </c>
      <c r="J13" s="16">
        <v>27</v>
      </c>
      <c r="K13" s="16">
        <v>10</v>
      </c>
      <c r="L13" s="16">
        <v>0</v>
      </c>
      <c r="M13" s="16">
        <v>0</v>
      </c>
      <c r="N13" s="10">
        <f t="shared" si="1"/>
        <v>92</v>
      </c>
      <c r="O13" s="16">
        <v>329</v>
      </c>
      <c r="P13" s="16">
        <f>965+3+7+5223+2161+3</f>
        <v>8362</v>
      </c>
      <c r="Q13" s="16">
        <f>4134+6</f>
        <v>4140</v>
      </c>
      <c r="R13" s="16">
        <v>1845</v>
      </c>
      <c r="S13" s="16">
        <v>162</v>
      </c>
      <c r="T13" s="16">
        <f>122+2+3+1+2</f>
        <v>130</v>
      </c>
      <c r="U13" s="10">
        <f t="shared" si="2"/>
        <v>14639</v>
      </c>
      <c r="V13" s="16">
        <f>100590+1115+2161+3</f>
        <v>103869</v>
      </c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3" customFormat="1" ht="11.25">
      <c r="A14" s="30"/>
      <c r="B14" s="12"/>
      <c r="C14" s="12"/>
      <c r="D14" s="12"/>
      <c r="E14" s="12"/>
      <c r="F14" s="12"/>
      <c r="G14" s="10"/>
      <c r="H14" s="12"/>
      <c r="I14" s="16"/>
      <c r="J14" s="16"/>
      <c r="K14" s="16"/>
      <c r="L14" s="16"/>
      <c r="M14" s="16"/>
      <c r="N14" s="10"/>
      <c r="O14" s="16"/>
      <c r="P14" s="16"/>
      <c r="Q14" s="16"/>
      <c r="R14" s="16"/>
      <c r="S14" s="16"/>
      <c r="T14" s="16"/>
      <c r="U14" s="10"/>
      <c r="V14" s="16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13" customFormat="1" ht="11.25">
      <c r="A15" s="30"/>
      <c r="B15" s="12"/>
      <c r="C15" s="12"/>
      <c r="D15" s="12"/>
      <c r="E15" s="12"/>
      <c r="F15" s="12"/>
      <c r="G15" s="10"/>
      <c r="H15" s="12"/>
      <c r="I15" s="16"/>
      <c r="J15" s="16"/>
      <c r="K15" s="16"/>
      <c r="L15" s="16"/>
      <c r="M15" s="16"/>
      <c r="N15" s="10"/>
      <c r="O15" s="16"/>
      <c r="P15" s="16"/>
      <c r="Q15" s="16"/>
      <c r="R15" s="16"/>
      <c r="S15" s="16"/>
      <c r="T15" s="16"/>
      <c r="U15" s="10"/>
      <c r="V15" s="16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13" customFormat="1" ht="11.25">
      <c r="A16" s="28"/>
      <c r="B16" s="12"/>
      <c r="C16" s="12"/>
      <c r="D16" s="12"/>
      <c r="E16" s="12"/>
      <c r="F16" s="12"/>
      <c r="G16" s="10"/>
      <c r="H16" s="1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3" customFormat="1" ht="11.25">
      <c r="A17" s="24" t="s">
        <v>1</v>
      </c>
      <c r="B17" s="25" t="s">
        <v>14</v>
      </c>
      <c r="C17" s="25"/>
      <c r="D17" s="25"/>
      <c r="E17" s="25"/>
      <c r="F17" s="25"/>
      <c r="G17" s="25"/>
      <c r="H17" s="26"/>
      <c r="I17" s="25" t="s">
        <v>15</v>
      </c>
      <c r="J17" s="25"/>
      <c r="K17" s="25"/>
      <c r="L17" s="25"/>
      <c r="M17" s="25"/>
      <c r="N17" s="25"/>
      <c r="O17" s="26"/>
      <c r="P17" s="25" t="s">
        <v>16</v>
      </c>
      <c r="Q17" s="25"/>
      <c r="R17" s="25"/>
      <c r="S17" s="25"/>
      <c r="T17" s="25"/>
      <c r="U17" s="25"/>
      <c r="V17" s="26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3" customFormat="1" ht="33.75">
      <c r="A18" s="5"/>
      <c r="B18" s="6" t="s">
        <v>29</v>
      </c>
      <c r="C18" s="6" t="s">
        <v>30</v>
      </c>
      <c r="D18" s="6" t="s">
        <v>5</v>
      </c>
      <c r="E18" s="6" t="s">
        <v>6</v>
      </c>
      <c r="F18" s="6" t="s">
        <v>7</v>
      </c>
      <c r="G18" s="6" t="s">
        <v>8</v>
      </c>
      <c r="H18" s="7" t="s">
        <v>9</v>
      </c>
      <c r="I18" s="6" t="s">
        <v>29</v>
      </c>
      <c r="J18" s="6" t="s">
        <v>30</v>
      </c>
      <c r="K18" s="6" t="s">
        <v>5</v>
      </c>
      <c r="L18" s="6" t="s">
        <v>6</v>
      </c>
      <c r="M18" s="6" t="s">
        <v>7</v>
      </c>
      <c r="N18" s="6" t="s">
        <v>8</v>
      </c>
      <c r="O18" s="7" t="s">
        <v>9</v>
      </c>
      <c r="P18" s="6" t="s">
        <v>29</v>
      </c>
      <c r="Q18" s="6" t="s">
        <v>30</v>
      </c>
      <c r="R18" s="6" t="s">
        <v>5</v>
      </c>
      <c r="S18" s="6" t="s">
        <v>6</v>
      </c>
      <c r="T18" s="6" t="s">
        <v>7</v>
      </c>
      <c r="U18" s="6" t="s">
        <v>8</v>
      </c>
      <c r="V18" s="7" t="s">
        <v>9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3" customFormat="1" ht="11.25">
      <c r="A19" s="28" t="s">
        <v>10</v>
      </c>
      <c r="B19" s="16">
        <v>5158</v>
      </c>
      <c r="C19" s="16">
        <v>1184</v>
      </c>
      <c r="D19" s="16">
        <v>202</v>
      </c>
      <c r="E19" s="16">
        <v>11</v>
      </c>
      <c r="F19" s="16">
        <v>5</v>
      </c>
      <c r="G19" s="10">
        <f aca="true" t="shared" si="3" ref="G19:G26">SUM(B19:F19)</f>
        <v>6560</v>
      </c>
      <c r="H19" s="16">
        <v>16007</v>
      </c>
      <c r="I19" s="16">
        <v>12936</v>
      </c>
      <c r="J19" s="16">
        <v>3030</v>
      </c>
      <c r="K19" s="16">
        <v>399</v>
      </c>
      <c r="L19" s="16">
        <v>16</v>
      </c>
      <c r="M19" s="16">
        <v>5</v>
      </c>
      <c r="N19" s="10">
        <f aca="true" t="shared" si="4" ref="N19:N26">SUM(I19:M19)</f>
        <v>16386</v>
      </c>
      <c r="O19" s="16">
        <v>39240</v>
      </c>
      <c r="P19" s="16">
        <v>1420</v>
      </c>
      <c r="Q19" s="16">
        <v>898</v>
      </c>
      <c r="R19" s="16">
        <v>94</v>
      </c>
      <c r="S19" s="16">
        <v>5</v>
      </c>
      <c r="T19" s="16">
        <v>0</v>
      </c>
      <c r="U19" s="10">
        <f aca="true" t="shared" si="5" ref="U19:U26">SUM(P19:T19)</f>
        <v>2417</v>
      </c>
      <c r="V19" s="16">
        <v>7546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3" customFormat="1" ht="11.25">
      <c r="A20" s="28" t="s">
        <v>11</v>
      </c>
      <c r="B20" s="16">
        <v>5321</v>
      </c>
      <c r="C20" s="16">
        <v>1241</v>
      </c>
      <c r="D20" s="16">
        <v>214</v>
      </c>
      <c r="E20" s="16">
        <v>10</v>
      </c>
      <c r="F20" s="16">
        <v>6</v>
      </c>
      <c r="G20" s="10">
        <f t="shared" si="3"/>
        <v>6792</v>
      </c>
      <c r="H20" s="16">
        <v>16943</v>
      </c>
      <c r="I20" s="16">
        <v>13362</v>
      </c>
      <c r="J20" s="16">
        <v>3089</v>
      </c>
      <c r="K20" s="16">
        <v>421</v>
      </c>
      <c r="L20" s="16">
        <v>18</v>
      </c>
      <c r="M20" s="16">
        <v>4</v>
      </c>
      <c r="N20" s="10">
        <f t="shared" si="4"/>
        <v>16894</v>
      </c>
      <c r="O20" s="16">
        <v>38173</v>
      </c>
      <c r="P20" s="16">
        <v>1469</v>
      </c>
      <c r="Q20" s="16">
        <v>924</v>
      </c>
      <c r="R20" s="16">
        <v>96</v>
      </c>
      <c r="S20" s="16">
        <v>4</v>
      </c>
      <c r="T20" s="16">
        <v>1</v>
      </c>
      <c r="U20" s="10">
        <f t="shared" si="5"/>
        <v>2494</v>
      </c>
      <c r="V20" s="16">
        <v>7886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3" customFormat="1" ht="11.25">
      <c r="A21" s="28" t="s">
        <v>12</v>
      </c>
      <c r="B21" s="16">
        <f>513+4278+690</f>
        <v>5481</v>
      </c>
      <c r="C21" s="16">
        <v>1203</v>
      </c>
      <c r="D21" s="16">
        <v>208</v>
      </c>
      <c r="E21" s="16">
        <v>8</v>
      </c>
      <c r="F21" s="16">
        <v>6</v>
      </c>
      <c r="G21" s="10">
        <f t="shared" si="3"/>
        <v>6906</v>
      </c>
      <c r="H21" s="16">
        <f>15937+690</f>
        <v>16627</v>
      </c>
      <c r="I21" s="16">
        <f>825+11447+1069</f>
        <v>13341</v>
      </c>
      <c r="J21" s="16">
        <v>3043</v>
      </c>
      <c r="K21" s="16">
        <v>410</v>
      </c>
      <c r="L21" s="16">
        <v>16</v>
      </c>
      <c r="M21" s="16">
        <v>4</v>
      </c>
      <c r="N21" s="10">
        <f t="shared" si="4"/>
        <v>16814</v>
      </c>
      <c r="O21" s="16">
        <f>36583+1069</f>
        <v>37652</v>
      </c>
      <c r="P21" s="16">
        <f>121+1112+228</f>
        <v>1461</v>
      </c>
      <c r="Q21" s="16">
        <v>911</v>
      </c>
      <c r="R21" s="16">
        <v>94</v>
      </c>
      <c r="S21" s="16">
        <v>4</v>
      </c>
      <c r="T21" s="16">
        <v>1</v>
      </c>
      <c r="U21" s="10">
        <f t="shared" si="5"/>
        <v>2471</v>
      </c>
      <c r="V21" s="16">
        <f>7595+228</f>
        <v>7823</v>
      </c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3" customFormat="1" ht="11.25">
      <c r="A22" s="28" t="s">
        <v>13</v>
      </c>
      <c r="B22" s="16">
        <f>485+4291+779</f>
        <v>5555</v>
      </c>
      <c r="C22" s="16">
        <v>1312</v>
      </c>
      <c r="D22" s="16">
        <v>222</v>
      </c>
      <c r="E22" s="16">
        <v>9</v>
      </c>
      <c r="F22" s="16">
        <f>8</f>
        <v>8</v>
      </c>
      <c r="G22" s="10">
        <f t="shared" si="3"/>
        <v>7106</v>
      </c>
      <c r="H22" s="16">
        <f>16956+779</f>
        <v>17735</v>
      </c>
      <c r="I22" s="16">
        <f>841+11355+1138</f>
        <v>13334</v>
      </c>
      <c r="J22" s="16">
        <v>3119</v>
      </c>
      <c r="K22" s="16">
        <v>441</v>
      </c>
      <c r="L22" s="16">
        <v>13</v>
      </c>
      <c r="M22" s="16">
        <f>5+1</f>
        <v>6</v>
      </c>
      <c r="N22" s="10">
        <f t="shared" si="4"/>
        <v>16913</v>
      </c>
      <c r="O22" s="16">
        <f>39058+1138</f>
        <v>40196</v>
      </c>
      <c r="P22" s="16">
        <f>115+1087+270</f>
        <v>1472</v>
      </c>
      <c r="Q22" s="16">
        <v>953</v>
      </c>
      <c r="R22" s="16">
        <v>96</v>
      </c>
      <c r="S22" s="16">
        <v>3</v>
      </c>
      <c r="T22" s="16">
        <v>1</v>
      </c>
      <c r="U22" s="10">
        <f t="shared" si="5"/>
        <v>2525</v>
      </c>
      <c r="V22" s="16">
        <f>7724+270</f>
        <v>7994</v>
      </c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3" customFormat="1" ht="11.25">
      <c r="A23" s="30">
        <v>35611</v>
      </c>
      <c r="B23" s="12">
        <f>465+4033+1157</f>
        <v>5655</v>
      </c>
      <c r="C23" s="12">
        <v>1277</v>
      </c>
      <c r="D23" s="12">
        <v>222</v>
      </c>
      <c r="E23" s="12">
        <v>9</v>
      </c>
      <c r="F23" s="12">
        <f>7</f>
        <v>7</v>
      </c>
      <c r="G23" s="10">
        <f t="shared" si="3"/>
        <v>7170</v>
      </c>
      <c r="H23" s="12">
        <f>16352+1157</f>
        <v>17509</v>
      </c>
      <c r="I23" s="16">
        <f>802+10959+1599</f>
        <v>13360</v>
      </c>
      <c r="J23" s="16">
        <v>3079</v>
      </c>
      <c r="K23" s="16">
        <v>435</v>
      </c>
      <c r="L23" s="16">
        <v>13</v>
      </c>
      <c r="M23" s="16">
        <f>6+1</f>
        <v>7</v>
      </c>
      <c r="N23" s="10">
        <f t="shared" si="4"/>
        <v>16894</v>
      </c>
      <c r="O23" s="16">
        <f>38463+1599</f>
        <v>40062</v>
      </c>
      <c r="P23" s="16">
        <f>112+1062+355</f>
        <v>1529</v>
      </c>
      <c r="Q23" s="16">
        <v>920</v>
      </c>
      <c r="R23" s="16">
        <v>95</v>
      </c>
      <c r="S23" s="16">
        <v>3</v>
      </c>
      <c r="T23" s="16">
        <v>1</v>
      </c>
      <c r="U23" s="10">
        <f t="shared" si="5"/>
        <v>2548</v>
      </c>
      <c r="V23" s="16">
        <f>7578+355</f>
        <v>7933</v>
      </c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3" customFormat="1" ht="11.25">
      <c r="A24" s="30">
        <v>35795</v>
      </c>
      <c r="B24" s="12">
        <f>501+4166+1098</f>
        <v>5765</v>
      </c>
      <c r="C24" s="12">
        <v>1332</v>
      </c>
      <c r="D24" s="12">
        <v>243</v>
      </c>
      <c r="E24" s="12">
        <v>10</v>
      </c>
      <c r="F24" s="12">
        <v>6</v>
      </c>
      <c r="G24" s="10">
        <f t="shared" si="3"/>
        <v>7356</v>
      </c>
      <c r="H24" s="12">
        <f>17123+1098</f>
        <v>18221</v>
      </c>
      <c r="I24" s="16">
        <f>115+379+379+5998+3969+1209+143+685+539</f>
        <v>13416</v>
      </c>
      <c r="J24" s="16">
        <f>1572+968+625</f>
        <v>3165</v>
      </c>
      <c r="K24" s="16">
        <f>130+208+107</f>
        <v>445</v>
      </c>
      <c r="L24" s="16">
        <f>7+6+3</f>
        <v>16</v>
      </c>
      <c r="M24" s="16">
        <v>7</v>
      </c>
      <c r="N24" s="10">
        <f t="shared" si="4"/>
        <v>17049</v>
      </c>
      <c r="O24" s="16">
        <f>18355+13571+6483+539+685+143</f>
        <v>39776</v>
      </c>
      <c r="P24" s="16">
        <f>130+1039+307</f>
        <v>1476</v>
      </c>
      <c r="Q24" s="16">
        <v>969</v>
      </c>
      <c r="R24" s="16">
        <v>99</v>
      </c>
      <c r="S24" s="16">
        <v>1</v>
      </c>
      <c r="T24" s="16">
        <v>2</v>
      </c>
      <c r="U24" s="10">
        <f t="shared" si="5"/>
        <v>2547</v>
      </c>
      <c r="V24" s="16">
        <f>9664+307-2000</f>
        <v>7971</v>
      </c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3" customFormat="1" ht="11.25">
      <c r="A25" s="30">
        <v>35976</v>
      </c>
      <c r="B25" s="12">
        <f>499+3955+1490</f>
        <v>5944</v>
      </c>
      <c r="C25" s="12">
        <v>1272</v>
      </c>
      <c r="D25" s="12">
        <v>235</v>
      </c>
      <c r="E25" s="12">
        <v>10</v>
      </c>
      <c r="F25" s="12">
        <v>6</v>
      </c>
      <c r="G25" s="10">
        <f t="shared" si="3"/>
        <v>7467</v>
      </c>
      <c r="H25" s="12">
        <f>16455+1490</f>
        <v>17945</v>
      </c>
      <c r="I25" s="16">
        <f>365+359+108+5709+3807+1154+830+963+193</f>
        <v>13488</v>
      </c>
      <c r="J25" s="16">
        <f>1543+940+610</f>
        <v>3093</v>
      </c>
      <c r="K25" s="16">
        <f>132+205+107</f>
        <v>444</v>
      </c>
      <c r="L25" s="16">
        <f>7+5+3</f>
        <v>15</v>
      </c>
      <c r="M25" s="16">
        <f>5+2</f>
        <v>7</v>
      </c>
      <c r="N25" s="10">
        <f t="shared" si="4"/>
        <v>17047</v>
      </c>
      <c r="O25" s="16">
        <f>17857+13183+6362+830+963+193</f>
        <v>39388</v>
      </c>
      <c r="P25" s="16">
        <f>123+962+433</f>
        <v>1518</v>
      </c>
      <c r="Q25" s="16">
        <v>948</v>
      </c>
      <c r="R25" s="16">
        <v>89</v>
      </c>
      <c r="S25" s="16">
        <v>1</v>
      </c>
      <c r="T25" s="16">
        <f>1+1</f>
        <v>2</v>
      </c>
      <c r="U25" s="10">
        <f t="shared" si="5"/>
        <v>2558</v>
      </c>
      <c r="V25" s="16">
        <f>9318+433-2000</f>
        <v>7751</v>
      </c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3" customFormat="1" ht="11.25">
      <c r="A26" s="30">
        <v>36160</v>
      </c>
      <c r="B26" s="12">
        <f>495+3896+1838</f>
        <v>6229</v>
      </c>
      <c r="C26" s="12">
        <v>1251</v>
      </c>
      <c r="D26" s="12">
        <v>227</v>
      </c>
      <c r="E26" s="12">
        <v>11</v>
      </c>
      <c r="F26" s="12">
        <v>5</v>
      </c>
      <c r="G26" s="10">
        <f t="shared" si="3"/>
        <v>7723</v>
      </c>
      <c r="H26" s="12">
        <f>15993+1838</f>
        <v>17831</v>
      </c>
      <c r="I26" s="16">
        <f>788+10404+2346</f>
        <v>13538</v>
      </c>
      <c r="J26" s="16">
        <v>3049</v>
      </c>
      <c r="K26" s="16">
        <v>436</v>
      </c>
      <c r="L26" s="16">
        <v>14</v>
      </c>
      <c r="M26" s="16">
        <v>7</v>
      </c>
      <c r="N26" s="10">
        <f t="shared" si="4"/>
        <v>17044</v>
      </c>
      <c r="O26" s="16">
        <f>36758+2346</f>
        <v>39104</v>
      </c>
      <c r="P26" s="16">
        <f>116+924+526</f>
        <v>1566</v>
      </c>
      <c r="Q26" s="16">
        <v>922</v>
      </c>
      <c r="R26" s="16">
        <v>85</v>
      </c>
      <c r="S26" s="16">
        <v>1</v>
      </c>
      <c r="T26" s="16">
        <v>1</v>
      </c>
      <c r="U26" s="10">
        <f t="shared" si="5"/>
        <v>2575</v>
      </c>
      <c r="V26" s="16">
        <f>7103+526</f>
        <v>7629</v>
      </c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3" customFormat="1" ht="11.25">
      <c r="A27" s="30"/>
      <c r="B27" s="12"/>
      <c r="C27" s="12"/>
      <c r="D27" s="12"/>
      <c r="E27" s="12"/>
      <c r="F27" s="12"/>
      <c r="G27" s="10"/>
      <c r="H27" s="12"/>
      <c r="I27" s="16"/>
      <c r="J27" s="16"/>
      <c r="K27" s="16"/>
      <c r="L27" s="16"/>
      <c r="M27" s="16"/>
      <c r="N27" s="10"/>
      <c r="O27" s="16"/>
      <c r="P27" s="16"/>
      <c r="Q27" s="16"/>
      <c r="R27" s="16"/>
      <c r="S27" s="16"/>
      <c r="T27" s="16"/>
      <c r="U27" s="10"/>
      <c r="V27" s="16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3" customFormat="1" ht="11.25">
      <c r="A28" s="30"/>
      <c r="B28" s="12"/>
      <c r="C28" s="12"/>
      <c r="D28" s="12"/>
      <c r="E28" s="12"/>
      <c r="F28" s="12"/>
      <c r="G28" s="10"/>
      <c r="H28" s="12"/>
      <c r="I28" s="16"/>
      <c r="J28" s="16"/>
      <c r="K28" s="16"/>
      <c r="L28" s="16"/>
      <c r="M28" s="16"/>
      <c r="N28" s="10"/>
      <c r="O28" s="16"/>
      <c r="P28" s="16"/>
      <c r="Q28" s="16"/>
      <c r="R28" s="16"/>
      <c r="S28" s="16"/>
      <c r="T28" s="16"/>
      <c r="U28" s="10"/>
      <c r="V28" s="16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13" customFormat="1" ht="11.25">
      <c r="A29" s="28"/>
      <c r="B29" s="12"/>
      <c r="C29" s="12"/>
      <c r="D29" s="12"/>
      <c r="E29" s="12"/>
      <c r="F29" s="12"/>
      <c r="G29" s="10"/>
      <c r="H29" s="1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13" customFormat="1" ht="11.25">
      <c r="A30" s="24" t="s">
        <v>1</v>
      </c>
      <c r="B30" s="25" t="s">
        <v>17</v>
      </c>
      <c r="C30" s="25"/>
      <c r="D30" s="25"/>
      <c r="E30" s="25"/>
      <c r="F30" s="25"/>
      <c r="G30" s="25"/>
      <c r="H30" s="26"/>
      <c r="I30" s="25" t="s">
        <v>18</v>
      </c>
      <c r="J30" s="25"/>
      <c r="K30" s="25"/>
      <c r="L30" s="25"/>
      <c r="M30" s="25"/>
      <c r="N30" s="25"/>
      <c r="O30" s="26"/>
      <c r="P30" s="25" t="s">
        <v>19</v>
      </c>
      <c r="Q30" s="25"/>
      <c r="R30" s="25"/>
      <c r="S30" s="25"/>
      <c r="T30" s="25"/>
      <c r="U30" s="25"/>
      <c r="V30" s="26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3" customFormat="1" ht="33.75">
      <c r="A31" s="5"/>
      <c r="B31" s="6" t="s">
        <v>29</v>
      </c>
      <c r="C31" s="6" t="s">
        <v>30</v>
      </c>
      <c r="D31" s="6" t="s">
        <v>5</v>
      </c>
      <c r="E31" s="6" t="s">
        <v>6</v>
      </c>
      <c r="F31" s="6" t="s">
        <v>20</v>
      </c>
      <c r="G31" s="6" t="s">
        <v>8</v>
      </c>
      <c r="H31" s="7" t="s">
        <v>9</v>
      </c>
      <c r="I31" s="6" t="s">
        <v>29</v>
      </c>
      <c r="J31" s="6" t="s">
        <v>30</v>
      </c>
      <c r="K31" s="6" t="s">
        <v>5</v>
      </c>
      <c r="L31" s="6" t="s">
        <v>6</v>
      </c>
      <c r="M31" s="6" t="s">
        <v>7</v>
      </c>
      <c r="N31" s="6" t="s">
        <v>8</v>
      </c>
      <c r="O31" s="7" t="s">
        <v>9</v>
      </c>
      <c r="P31" s="6" t="s">
        <v>29</v>
      </c>
      <c r="Q31" s="6" t="s">
        <v>30</v>
      </c>
      <c r="R31" s="6" t="s">
        <v>5</v>
      </c>
      <c r="S31" s="6" t="s">
        <v>6</v>
      </c>
      <c r="T31" s="6" t="s">
        <v>7</v>
      </c>
      <c r="U31" s="6" t="s">
        <v>8</v>
      </c>
      <c r="V31" s="7" t="s">
        <v>9</v>
      </c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3" customFormat="1" ht="11.25">
      <c r="A32" s="28" t="s">
        <v>10</v>
      </c>
      <c r="B32" s="16">
        <v>2568</v>
      </c>
      <c r="C32" s="16">
        <v>284</v>
      </c>
      <c r="D32" s="16">
        <v>79</v>
      </c>
      <c r="E32" s="16">
        <v>8</v>
      </c>
      <c r="F32" s="16">
        <v>2</v>
      </c>
      <c r="G32" s="10">
        <f aca="true" t="shared" si="6" ref="G32:G39">SUM(B32:F32)</f>
        <v>2941</v>
      </c>
      <c r="H32" s="16">
        <v>6745</v>
      </c>
      <c r="I32" s="16">
        <v>1111</v>
      </c>
      <c r="J32" s="16">
        <v>331</v>
      </c>
      <c r="K32" s="16">
        <v>112</v>
      </c>
      <c r="L32" s="16">
        <v>8</v>
      </c>
      <c r="M32" s="16">
        <v>8</v>
      </c>
      <c r="N32" s="10">
        <f aca="true" t="shared" si="7" ref="N32:N39">SUM(I32:M32)</f>
        <v>1570</v>
      </c>
      <c r="O32" s="16">
        <v>8927</v>
      </c>
      <c r="P32" s="16">
        <v>4071</v>
      </c>
      <c r="Q32" s="16">
        <v>801</v>
      </c>
      <c r="R32" s="16">
        <v>166</v>
      </c>
      <c r="S32" s="16">
        <v>10</v>
      </c>
      <c r="T32" s="16">
        <v>7</v>
      </c>
      <c r="U32" s="10">
        <f aca="true" t="shared" si="8" ref="U32:U39">SUM(P32:T32)</f>
        <v>5055</v>
      </c>
      <c r="V32" s="16">
        <v>12900</v>
      </c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13" customFormat="1" ht="11.25">
      <c r="A33" s="28" t="s">
        <v>11</v>
      </c>
      <c r="B33" s="16">
        <v>2635</v>
      </c>
      <c r="C33" s="16">
        <v>293</v>
      </c>
      <c r="D33" s="16">
        <v>81</v>
      </c>
      <c r="E33" s="16">
        <v>11</v>
      </c>
      <c r="F33" s="16">
        <v>4</v>
      </c>
      <c r="G33" s="10">
        <f t="shared" si="6"/>
        <v>3024</v>
      </c>
      <c r="H33" s="16">
        <v>7274</v>
      </c>
      <c r="I33" s="16">
        <v>1062</v>
      </c>
      <c r="J33" s="16">
        <v>328</v>
      </c>
      <c r="K33" s="16">
        <v>109</v>
      </c>
      <c r="L33" s="16">
        <v>9</v>
      </c>
      <c r="M33" s="16">
        <v>8</v>
      </c>
      <c r="N33" s="10">
        <f t="shared" si="7"/>
        <v>1516</v>
      </c>
      <c r="O33" s="16">
        <v>8988</v>
      </c>
      <c r="P33" s="16">
        <v>4338</v>
      </c>
      <c r="Q33" s="16">
        <v>855</v>
      </c>
      <c r="R33" s="16">
        <v>149</v>
      </c>
      <c r="S33" s="16">
        <v>10</v>
      </c>
      <c r="T33" s="16">
        <v>7</v>
      </c>
      <c r="U33" s="10">
        <f t="shared" si="8"/>
        <v>5359</v>
      </c>
      <c r="V33" s="16">
        <v>13118</v>
      </c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3" customFormat="1" ht="11.25">
      <c r="A34" s="28" t="s">
        <v>12</v>
      </c>
      <c r="B34" s="16">
        <f>134+2346+168</f>
        <v>2648</v>
      </c>
      <c r="C34" s="16">
        <v>282</v>
      </c>
      <c r="D34" s="16">
        <v>81</v>
      </c>
      <c r="E34" s="16">
        <v>12</v>
      </c>
      <c r="F34" s="16">
        <v>3</v>
      </c>
      <c r="G34" s="10">
        <f t="shared" si="6"/>
        <v>3026</v>
      </c>
      <c r="H34" s="16">
        <f>6943+168</f>
        <v>7111</v>
      </c>
      <c r="I34" s="16">
        <f>223+737+89</f>
        <v>1049</v>
      </c>
      <c r="J34" s="16">
        <v>341</v>
      </c>
      <c r="K34" s="16">
        <v>108</v>
      </c>
      <c r="L34" s="16">
        <v>9</v>
      </c>
      <c r="M34" s="16">
        <v>10</v>
      </c>
      <c r="N34" s="10">
        <f t="shared" si="7"/>
        <v>1517</v>
      </c>
      <c r="O34" s="16">
        <f>7838+89</f>
        <v>7927</v>
      </c>
      <c r="P34" s="16">
        <f>868+3043+615</f>
        <v>4526</v>
      </c>
      <c r="Q34" s="16">
        <v>874</v>
      </c>
      <c r="R34" s="16">
        <v>158</v>
      </c>
      <c r="S34" s="16">
        <v>11</v>
      </c>
      <c r="T34" s="16">
        <v>7</v>
      </c>
      <c r="U34" s="10">
        <f t="shared" si="8"/>
        <v>5576</v>
      </c>
      <c r="V34" s="16">
        <f>13146+615</f>
        <v>13761</v>
      </c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13" customFormat="1" ht="11.25">
      <c r="A35" s="28" t="s">
        <v>13</v>
      </c>
      <c r="B35" s="16">
        <f>135+2315+202</f>
        <v>2652</v>
      </c>
      <c r="C35" s="16">
        <v>302</v>
      </c>
      <c r="D35" s="16">
        <v>87</v>
      </c>
      <c r="E35" s="16">
        <v>9</v>
      </c>
      <c r="F35" s="16">
        <v>7</v>
      </c>
      <c r="G35" s="10">
        <f t="shared" si="6"/>
        <v>3057</v>
      </c>
      <c r="H35" s="16">
        <f>7450+202</f>
        <v>7652</v>
      </c>
      <c r="I35" s="16">
        <f>197+758+95</f>
        <v>1050</v>
      </c>
      <c r="J35" s="16">
        <v>353</v>
      </c>
      <c r="K35" s="16">
        <v>117</v>
      </c>
      <c r="L35" s="16">
        <v>7</v>
      </c>
      <c r="M35" s="16">
        <f>7+2</f>
        <v>9</v>
      </c>
      <c r="N35" s="10">
        <f t="shared" si="7"/>
        <v>1536</v>
      </c>
      <c r="O35" s="16">
        <f>7931+95</f>
        <v>8026</v>
      </c>
      <c r="P35" s="16">
        <f>856+3242+649</f>
        <v>4747</v>
      </c>
      <c r="Q35" s="16">
        <v>892</v>
      </c>
      <c r="R35" s="16">
        <v>164</v>
      </c>
      <c r="S35" s="16">
        <v>14</v>
      </c>
      <c r="T35" s="16">
        <f>6+2</f>
        <v>8</v>
      </c>
      <c r="U35" s="10">
        <f t="shared" si="8"/>
        <v>5825</v>
      </c>
      <c r="V35" s="16">
        <f>14550+649</f>
        <v>15199</v>
      </c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13" customFormat="1" ht="11.25">
      <c r="A36" s="30">
        <v>35611</v>
      </c>
      <c r="B36" s="12">
        <f>131+2226+320</f>
        <v>2677</v>
      </c>
      <c r="C36" s="12">
        <v>298</v>
      </c>
      <c r="D36" s="12">
        <v>89</v>
      </c>
      <c r="E36" s="12">
        <v>9</v>
      </c>
      <c r="F36" s="12">
        <f>6</f>
        <v>6</v>
      </c>
      <c r="G36" s="10">
        <f t="shared" si="6"/>
        <v>3079</v>
      </c>
      <c r="H36" s="12">
        <f>7203+320</f>
        <v>7523</v>
      </c>
      <c r="I36" s="16">
        <f>183+735+164</f>
        <v>1082</v>
      </c>
      <c r="J36" s="16">
        <v>365</v>
      </c>
      <c r="K36" s="16">
        <v>113</v>
      </c>
      <c r="L36" s="16">
        <v>7</v>
      </c>
      <c r="M36" s="16">
        <f>7+2</f>
        <v>9</v>
      </c>
      <c r="N36" s="10">
        <f t="shared" si="7"/>
        <v>1576</v>
      </c>
      <c r="O36" s="16">
        <f>7883+164</f>
        <v>8047</v>
      </c>
      <c r="P36" s="16">
        <f>847+3208+847</f>
        <v>4902</v>
      </c>
      <c r="Q36" s="16">
        <v>916</v>
      </c>
      <c r="R36" s="16">
        <v>176</v>
      </c>
      <c r="S36" s="16">
        <v>14</v>
      </c>
      <c r="T36" s="16">
        <f>6+2</f>
        <v>8</v>
      </c>
      <c r="U36" s="10">
        <f t="shared" si="8"/>
        <v>6016</v>
      </c>
      <c r="V36" s="16">
        <f>14788+847</f>
        <v>15635</v>
      </c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13" customFormat="1" ht="11.25">
      <c r="A37" s="30">
        <v>35795</v>
      </c>
      <c r="B37" s="12">
        <f>101+2168+23+97+9+243+39+9</f>
        <v>2689</v>
      </c>
      <c r="C37" s="12">
        <f>209+1+1+88+4</f>
        <v>303</v>
      </c>
      <c r="D37" s="12">
        <f>56+37+1</f>
        <v>94</v>
      </c>
      <c r="E37" s="12">
        <f>4+2</f>
        <v>6</v>
      </c>
      <c r="F37" s="12">
        <f>6</f>
        <v>6</v>
      </c>
      <c r="G37" s="10">
        <f t="shared" si="6"/>
        <v>3098</v>
      </c>
      <c r="H37" s="12">
        <f>5088+243+3+3+1942+39+61+9</f>
        <v>7388</v>
      </c>
      <c r="I37" s="16">
        <f>33+581+3+156+167+125+2+21</f>
        <v>1088</v>
      </c>
      <c r="J37" s="16">
        <f>132+7+242</f>
        <v>381</v>
      </c>
      <c r="K37" s="16">
        <f>14+3+96</f>
        <v>113</v>
      </c>
      <c r="L37" s="16">
        <v>8</v>
      </c>
      <c r="M37" s="16">
        <f>9+1+1</f>
        <v>11</v>
      </c>
      <c r="N37" s="10">
        <f t="shared" si="7"/>
        <v>1601</v>
      </c>
      <c r="O37" s="16">
        <f>1470+84+6703+125+2+21</f>
        <v>8405</v>
      </c>
      <c r="P37" s="16">
        <f>844+3377+730</f>
        <v>4951</v>
      </c>
      <c r="Q37" s="16">
        <v>969</v>
      </c>
      <c r="R37" s="16">
        <v>170</v>
      </c>
      <c r="S37" s="16">
        <v>14</v>
      </c>
      <c r="T37" s="16">
        <f>7+1</f>
        <v>8</v>
      </c>
      <c r="U37" s="10">
        <f t="shared" si="8"/>
        <v>6112</v>
      </c>
      <c r="V37" s="16">
        <f>14273+730</f>
        <v>15003</v>
      </c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13" customFormat="1" ht="11.25">
      <c r="A38" s="30">
        <v>35976</v>
      </c>
      <c r="B38" s="12">
        <f>104+23+2101+94+8+12+50+330</f>
        <v>2722</v>
      </c>
      <c r="C38" s="12">
        <f>203+1+1+89+4</f>
        <v>298</v>
      </c>
      <c r="D38" s="12">
        <f>53+36+1</f>
        <v>90</v>
      </c>
      <c r="E38" s="12">
        <f>4+2</f>
        <v>6</v>
      </c>
      <c r="F38" s="12">
        <f>3+3</f>
        <v>6</v>
      </c>
      <c r="G38" s="10">
        <f t="shared" si="6"/>
        <v>3122</v>
      </c>
      <c r="H38" s="12">
        <f>60+1926+3+3+4951+12+50+330</f>
        <v>7335</v>
      </c>
      <c r="I38" s="16">
        <f>149+28+163+3+567+198+2+23</f>
        <v>1133</v>
      </c>
      <c r="J38" s="16">
        <f>120+7+245</f>
        <v>372</v>
      </c>
      <c r="K38" s="16">
        <f>13+3+93</f>
        <v>109</v>
      </c>
      <c r="L38" s="16">
        <v>9</v>
      </c>
      <c r="M38" s="16">
        <f>9+1+1</f>
        <v>11</v>
      </c>
      <c r="N38" s="10">
        <f t="shared" si="7"/>
        <v>1634</v>
      </c>
      <c r="O38" s="16">
        <f>1386+84+6717+198+2+23</f>
        <v>8410</v>
      </c>
      <c r="P38" s="16">
        <f>219+1+38+13+556+1489+7+363+67+1342+4+174+31+250+575</f>
        <v>5129</v>
      </c>
      <c r="Q38" s="16">
        <f>446+3+191+15+320</f>
        <v>975</v>
      </c>
      <c r="R38" s="16">
        <f>93+1+41+43</f>
        <v>178</v>
      </c>
      <c r="S38" s="16">
        <f>11+3+1</f>
        <v>15</v>
      </c>
      <c r="T38" s="16">
        <f>6+1+1</f>
        <v>8</v>
      </c>
      <c r="U38" s="10">
        <f t="shared" si="8"/>
        <v>6305</v>
      </c>
      <c r="V38" s="16">
        <f>3890+148+2324+238+4+174+31+250+7826+575</f>
        <v>15460</v>
      </c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3" customFormat="1" ht="11.25">
      <c r="A39" s="30">
        <v>36160</v>
      </c>
      <c r="B39" s="12">
        <f>123+2155+469</f>
        <v>2747</v>
      </c>
      <c r="C39" s="12">
        <v>298</v>
      </c>
      <c r="D39" s="12">
        <v>87</v>
      </c>
      <c r="E39" s="12">
        <v>6</v>
      </c>
      <c r="F39" s="12">
        <v>6</v>
      </c>
      <c r="G39" s="10">
        <f t="shared" si="6"/>
        <v>3144</v>
      </c>
      <c r="H39" s="12">
        <f>6802+469</f>
        <v>7271</v>
      </c>
      <c r="I39" s="16">
        <f>300+172+715</f>
        <v>1187</v>
      </c>
      <c r="J39" s="16">
        <v>370</v>
      </c>
      <c r="K39" s="16">
        <v>108</v>
      </c>
      <c r="L39" s="16">
        <v>9</v>
      </c>
      <c r="M39" s="16">
        <f>8+1+1</f>
        <v>10</v>
      </c>
      <c r="N39" s="10">
        <f t="shared" si="7"/>
        <v>1684</v>
      </c>
      <c r="O39" s="16">
        <f>7937+300</f>
        <v>8237</v>
      </c>
      <c r="P39" s="16">
        <f>807+3232+1294</f>
        <v>5333</v>
      </c>
      <c r="Q39" s="16">
        <v>972</v>
      </c>
      <c r="R39" s="16">
        <v>187</v>
      </c>
      <c r="S39" s="16">
        <v>15</v>
      </c>
      <c r="T39" s="16">
        <f>6+1</f>
        <v>7</v>
      </c>
      <c r="U39" s="10">
        <f t="shared" si="8"/>
        <v>6514</v>
      </c>
      <c r="V39" s="16">
        <f>14397+1294</f>
        <v>15691</v>
      </c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s="13" customFormat="1" ht="11.25">
      <c r="A40" s="30"/>
      <c r="B40" s="12"/>
      <c r="C40" s="12"/>
      <c r="D40" s="12"/>
      <c r="E40" s="12"/>
      <c r="F40" s="12"/>
      <c r="G40" s="10"/>
      <c r="H40" s="12"/>
      <c r="I40" s="16"/>
      <c r="J40" s="16"/>
      <c r="K40" s="16"/>
      <c r="L40" s="16"/>
      <c r="M40" s="16"/>
      <c r="N40" s="10"/>
      <c r="O40" s="16"/>
      <c r="P40" s="16"/>
      <c r="Q40" s="16"/>
      <c r="R40" s="16"/>
      <c r="S40" s="16"/>
      <c r="T40" s="16"/>
      <c r="U40" s="10"/>
      <c r="V40" s="16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s="13" customFormat="1" ht="11.25">
      <c r="A41" s="31"/>
      <c r="B41" s="12"/>
      <c r="C41" s="12"/>
      <c r="D41" s="12"/>
      <c r="E41" s="12"/>
      <c r="F41" s="12"/>
      <c r="G41" s="10"/>
      <c r="H41" s="1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s="13" customFormat="1" ht="11.25">
      <c r="A42" s="24" t="s">
        <v>1</v>
      </c>
      <c r="B42" s="25" t="s">
        <v>21</v>
      </c>
      <c r="C42" s="25"/>
      <c r="D42" s="25"/>
      <c r="E42" s="25"/>
      <c r="F42" s="25"/>
      <c r="G42" s="25"/>
      <c r="H42" s="26"/>
      <c r="I42" s="25" t="s">
        <v>22</v>
      </c>
      <c r="J42" s="25"/>
      <c r="K42" s="25"/>
      <c r="L42" s="25"/>
      <c r="M42" s="25"/>
      <c r="N42" s="25"/>
      <c r="O42" s="26"/>
      <c r="P42" s="25" t="s">
        <v>23</v>
      </c>
      <c r="Q42" s="25"/>
      <c r="R42" s="25"/>
      <c r="S42" s="25"/>
      <c r="T42" s="25"/>
      <c r="U42" s="25"/>
      <c r="V42" s="26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s="13" customFormat="1" ht="33.75">
      <c r="A43" s="5"/>
      <c r="B43" s="6" t="s">
        <v>29</v>
      </c>
      <c r="C43" s="6" t="s">
        <v>30</v>
      </c>
      <c r="D43" s="6" t="s">
        <v>5</v>
      </c>
      <c r="E43" s="6" t="s">
        <v>6</v>
      </c>
      <c r="F43" s="6" t="s">
        <v>7</v>
      </c>
      <c r="G43" s="6" t="s">
        <v>8</v>
      </c>
      <c r="H43" s="7" t="s">
        <v>9</v>
      </c>
      <c r="I43" s="6" t="s">
        <v>29</v>
      </c>
      <c r="J43" s="6" t="s">
        <v>30</v>
      </c>
      <c r="K43" s="6" t="s">
        <v>5</v>
      </c>
      <c r="L43" s="6" t="s">
        <v>6</v>
      </c>
      <c r="M43" s="6" t="s">
        <v>7</v>
      </c>
      <c r="N43" s="6" t="s">
        <v>8</v>
      </c>
      <c r="O43" s="7" t="s">
        <v>9</v>
      </c>
      <c r="P43" s="6" t="s">
        <v>29</v>
      </c>
      <c r="Q43" s="6" t="s">
        <v>30</v>
      </c>
      <c r="R43" s="6" t="s">
        <v>5</v>
      </c>
      <c r="S43" s="6" t="s">
        <v>6</v>
      </c>
      <c r="T43" s="6" t="s">
        <v>7</v>
      </c>
      <c r="U43" s="6" t="s">
        <v>8</v>
      </c>
      <c r="V43" s="7" t="s">
        <v>9</v>
      </c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s="13" customFormat="1" ht="11.25">
      <c r="A44" s="28" t="s">
        <v>10</v>
      </c>
      <c r="B44" s="16">
        <v>97</v>
      </c>
      <c r="C44" s="16">
        <v>33</v>
      </c>
      <c r="D44" s="16">
        <v>10</v>
      </c>
      <c r="E44" s="16">
        <v>0</v>
      </c>
      <c r="F44" s="16">
        <v>0</v>
      </c>
      <c r="G44" s="10">
        <f aca="true" t="shared" si="9" ref="G44:G51">SUM(B44:F44)</f>
        <v>140</v>
      </c>
      <c r="H44" s="16">
        <v>465</v>
      </c>
      <c r="I44" s="16">
        <v>69</v>
      </c>
      <c r="J44" s="16">
        <v>55</v>
      </c>
      <c r="K44" s="16">
        <v>23</v>
      </c>
      <c r="L44" s="16">
        <v>3</v>
      </c>
      <c r="M44" s="16">
        <v>3</v>
      </c>
      <c r="N44" s="10">
        <f aca="true" t="shared" si="10" ref="N44:N51">SUM(I44:M44)</f>
        <v>153</v>
      </c>
      <c r="O44" s="16">
        <v>1660</v>
      </c>
      <c r="P44" s="12">
        <v>2114</v>
      </c>
      <c r="Q44" s="12">
        <v>489</v>
      </c>
      <c r="R44" s="12">
        <v>43</v>
      </c>
      <c r="S44" s="12">
        <v>3</v>
      </c>
      <c r="T44" s="12">
        <v>1</v>
      </c>
      <c r="U44" s="10">
        <f aca="true" t="shared" si="11" ref="U44:U51">SUM(P44:T44)</f>
        <v>2650</v>
      </c>
      <c r="V44" s="12">
        <v>6023</v>
      </c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s="13" customFormat="1" ht="11.25">
      <c r="A45" s="28" t="s">
        <v>11</v>
      </c>
      <c r="B45" s="16">
        <v>100</v>
      </c>
      <c r="C45" s="16">
        <v>34</v>
      </c>
      <c r="D45" s="16">
        <v>10</v>
      </c>
      <c r="E45" s="16">
        <v>0</v>
      </c>
      <c r="F45" s="16">
        <v>0</v>
      </c>
      <c r="G45" s="10">
        <f t="shared" si="9"/>
        <v>144</v>
      </c>
      <c r="H45" s="16">
        <v>477</v>
      </c>
      <c r="I45" s="16">
        <v>77</v>
      </c>
      <c r="J45" s="16">
        <v>53</v>
      </c>
      <c r="K45" s="16">
        <v>23</v>
      </c>
      <c r="L45" s="16">
        <v>3</v>
      </c>
      <c r="M45" s="16">
        <v>3</v>
      </c>
      <c r="N45" s="10">
        <f t="shared" si="10"/>
        <v>159</v>
      </c>
      <c r="O45" s="16">
        <v>1805</v>
      </c>
      <c r="P45" s="12">
        <v>2133</v>
      </c>
      <c r="Q45" s="12">
        <v>493</v>
      </c>
      <c r="R45" s="12">
        <v>47</v>
      </c>
      <c r="S45" s="12">
        <v>1</v>
      </c>
      <c r="T45" s="12">
        <v>1</v>
      </c>
      <c r="U45" s="10">
        <f t="shared" si="11"/>
        <v>2675</v>
      </c>
      <c r="V45" s="12">
        <v>6073</v>
      </c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s="13" customFormat="1" ht="11.25">
      <c r="A46" s="28" t="s">
        <v>12</v>
      </c>
      <c r="B46" s="16">
        <v>98</v>
      </c>
      <c r="C46" s="16">
        <v>33</v>
      </c>
      <c r="D46" s="16">
        <v>10</v>
      </c>
      <c r="E46" s="16">
        <v>0</v>
      </c>
      <c r="F46" s="16">
        <v>0</v>
      </c>
      <c r="G46" s="10">
        <f t="shared" si="9"/>
        <v>141</v>
      </c>
      <c r="H46" s="16">
        <v>484</v>
      </c>
      <c r="I46" s="16">
        <f>14+53+5</f>
        <v>72</v>
      </c>
      <c r="J46" s="16">
        <v>53</v>
      </c>
      <c r="K46" s="16">
        <v>23</v>
      </c>
      <c r="L46" s="16">
        <v>3</v>
      </c>
      <c r="M46" s="16">
        <v>3</v>
      </c>
      <c r="N46" s="10">
        <f t="shared" si="10"/>
        <v>154</v>
      </c>
      <c r="O46" s="16">
        <v>1801</v>
      </c>
      <c r="P46" s="12">
        <f>156+1823+147</f>
        <v>2126</v>
      </c>
      <c r="Q46" s="12">
        <v>481</v>
      </c>
      <c r="R46" s="12">
        <v>49</v>
      </c>
      <c r="S46" s="12">
        <v>1</v>
      </c>
      <c r="T46" s="12">
        <v>2</v>
      </c>
      <c r="U46" s="10">
        <f t="shared" si="11"/>
        <v>2659</v>
      </c>
      <c r="V46" s="12">
        <f>6071+147</f>
        <v>6218</v>
      </c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s="13" customFormat="1" ht="11.25">
      <c r="A47" s="28" t="s">
        <v>13</v>
      </c>
      <c r="B47" s="16">
        <f>7+82+12</f>
        <v>101</v>
      </c>
      <c r="C47" s="16">
        <v>33</v>
      </c>
      <c r="D47" s="16">
        <v>12</v>
      </c>
      <c r="E47" s="16">
        <v>0</v>
      </c>
      <c r="F47" s="16">
        <v>0</v>
      </c>
      <c r="G47" s="10">
        <f t="shared" si="9"/>
        <v>146</v>
      </c>
      <c r="H47" s="16">
        <f>542+12</f>
        <v>554</v>
      </c>
      <c r="I47" s="16">
        <f>15+56+19</f>
        <v>90</v>
      </c>
      <c r="J47" s="16">
        <v>56</v>
      </c>
      <c r="K47" s="16">
        <v>24</v>
      </c>
      <c r="L47" s="16">
        <v>2</v>
      </c>
      <c r="M47" s="16">
        <v>4</v>
      </c>
      <c r="N47" s="10">
        <f t="shared" si="10"/>
        <v>176</v>
      </c>
      <c r="O47" s="16">
        <f>1850+19</f>
        <v>1869</v>
      </c>
      <c r="P47" s="12">
        <f>143+1815+185</f>
        <v>2143</v>
      </c>
      <c r="Q47" s="12">
        <v>496</v>
      </c>
      <c r="R47" s="12">
        <v>53</v>
      </c>
      <c r="S47" s="12">
        <v>3</v>
      </c>
      <c r="T47" s="12">
        <v>2</v>
      </c>
      <c r="U47" s="10">
        <f t="shared" si="11"/>
        <v>2697</v>
      </c>
      <c r="V47" s="12">
        <f>6345+185</f>
        <v>6530</v>
      </c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s="13" customFormat="1" ht="11.25">
      <c r="A48" s="30">
        <v>35611</v>
      </c>
      <c r="B48" s="16">
        <f>14+75+16</f>
        <v>105</v>
      </c>
      <c r="C48" s="16">
        <v>31</v>
      </c>
      <c r="D48" s="16">
        <v>11</v>
      </c>
      <c r="E48" s="16">
        <v>0</v>
      </c>
      <c r="F48" s="16">
        <v>0</v>
      </c>
      <c r="G48" s="10">
        <f t="shared" si="9"/>
        <v>147</v>
      </c>
      <c r="H48" s="16">
        <f>492+16</f>
        <v>508</v>
      </c>
      <c r="I48" s="16">
        <f>13+57+22</f>
        <v>92</v>
      </c>
      <c r="J48" s="16">
        <v>55</v>
      </c>
      <c r="K48" s="16">
        <v>27</v>
      </c>
      <c r="L48" s="16">
        <v>2</v>
      </c>
      <c r="M48" s="16">
        <f>4</f>
        <v>4</v>
      </c>
      <c r="N48" s="10">
        <f t="shared" si="10"/>
        <v>180</v>
      </c>
      <c r="O48" s="16">
        <f>1919+22</f>
        <v>1941</v>
      </c>
      <c r="P48" s="16">
        <f>139+1762+251</f>
        <v>2152</v>
      </c>
      <c r="Q48" s="16">
        <v>484</v>
      </c>
      <c r="R48" s="16">
        <v>55</v>
      </c>
      <c r="S48" s="16">
        <v>3</v>
      </c>
      <c r="T48" s="16">
        <v>2</v>
      </c>
      <c r="U48" s="10">
        <f t="shared" si="11"/>
        <v>2696</v>
      </c>
      <c r="V48" s="16">
        <f>6241+251</f>
        <v>6492</v>
      </c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s="13" customFormat="1" ht="11.25">
      <c r="A49" s="30">
        <v>35795</v>
      </c>
      <c r="B49" s="16">
        <f>16+79+16</f>
        <v>111</v>
      </c>
      <c r="C49" s="16">
        <v>33</v>
      </c>
      <c r="D49" s="16">
        <v>9</v>
      </c>
      <c r="E49" s="16">
        <v>0</v>
      </c>
      <c r="F49" s="16">
        <v>0</v>
      </c>
      <c r="G49" s="10">
        <f t="shared" si="9"/>
        <v>153</v>
      </c>
      <c r="H49" s="16">
        <f>441+16</f>
        <v>457</v>
      </c>
      <c r="I49" s="16">
        <f>20+13+63</f>
        <v>96</v>
      </c>
      <c r="J49" s="16">
        <f>53</f>
        <v>53</v>
      </c>
      <c r="K49" s="16">
        <v>28</v>
      </c>
      <c r="L49" s="16">
        <v>2</v>
      </c>
      <c r="M49" s="16">
        <v>4</v>
      </c>
      <c r="N49" s="10">
        <f t="shared" si="10"/>
        <v>183</v>
      </c>
      <c r="O49" s="16">
        <f>2031+20</f>
        <v>2051</v>
      </c>
      <c r="P49" s="16">
        <f>167+1791+230</f>
        <v>2188</v>
      </c>
      <c r="Q49" s="16">
        <v>508</v>
      </c>
      <c r="R49" s="16">
        <v>51</v>
      </c>
      <c r="S49" s="16">
        <v>3</v>
      </c>
      <c r="T49" s="16">
        <v>2</v>
      </c>
      <c r="U49" s="10">
        <f t="shared" si="11"/>
        <v>2752</v>
      </c>
      <c r="V49" s="16">
        <f>6216+230</f>
        <v>6446</v>
      </c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s="13" customFormat="1" ht="11.25">
      <c r="A50" s="30">
        <v>35976</v>
      </c>
      <c r="B50" s="16">
        <f>17+74+22</f>
        <v>113</v>
      </c>
      <c r="C50" s="16">
        <f>31</f>
        <v>31</v>
      </c>
      <c r="D50" s="16">
        <v>10</v>
      </c>
      <c r="E50" s="16">
        <v>0</v>
      </c>
      <c r="F50" s="16">
        <v>0</v>
      </c>
      <c r="G50" s="10">
        <f t="shared" si="9"/>
        <v>154</v>
      </c>
      <c r="H50" s="16">
        <f>460+22</f>
        <v>482</v>
      </c>
      <c r="I50" s="16">
        <f>12+67+30</f>
        <v>109</v>
      </c>
      <c r="J50" s="16">
        <v>59</v>
      </c>
      <c r="K50" s="16">
        <v>28</v>
      </c>
      <c r="L50" s="16">
        <v>2</v>
      </c>
      <c r="M50" s="16">
        <f>4</f>
        <v>4</v>
      </c>
      <c r="N50" s="10">
        <f t="shared" si="10"/>
        <v>202</v>
      </c>
      <c r="O50" s="16">
        <f>2087+30</f>
        <v>2117</v>
      </c>
      <c r="P50" s="16">
        <f>57+100+4+1446+251+20+194+108+3</f>
        <v>2183</v>
      </c>
      <c r="Q50" s="16">
        <f>370+107+16</f>
        <v>493</v>
      </c>
      <c r="R50" s="16">
        <f>25+24+4</f>
        <v>53</v>
      </c>
      <c r="S50" s="16">
        <v>4</v>
      </c>
      <c r="T50" s="16">
        <v>2</v>
      </c>
      <c r="U50" s="10">
        <f t="shared" si="11"/>
        <v>2735</v>
      </c>
      <c r="V50" s="16">
        <f>712+1242+4261+3+108+194</f>
        <v>6520</v>
      </c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s="13" customFormat="1" ht="11.25">
      <c r="A51" s="30">
        <v>36160</v>
      </c>
      <c r="B51" s="16">
        <f>17+72+29</f>
        <v>118</v>
      </c>
      <c r="C51" s="16">
        <v>29</v>
      </c>
      <c r="D51" s="16">
        <v>12</v>
      </c>
      <c r="E51" s="16">
        <v>0</v>
      </c>
      <c r="F51" s="16">
        <v>0</v>
      </c>
      <c r="G51" s="10">
        <f t="shared" si="9"/>
        <v>159</v>
      </c>
      <c r="H51" s="16">
        <f>515+29</f>
        <v>544</v>
      </c>
      <c r="I51" s="16">
        <f>12+66+40</f>
        <v>118</v>
      </c>
      <c r="J51" s="16">
        <v>60</v>
      </c>
      <c r="K51" s="16">
        <v>27</v>
      </c>
      <c r="L51" s="16">
        <v>2</v>
      </c>
      <c r="M51" s="16">
        <v>4</v>
      </c>
      <c r="N51" s="10">
        <f t="shared" si="10"/>
        <v>211</v>
      </c>
      <c r="O51" s="16">
        <f>40+2059</f>
        <v>2099</v>
      </c>
      <c r="P51" s="16">
        <f>153+1690+390</f>
        <v>2233</v>
      </c>
      <c r="Q51" s="16">
        <v>481</v>
      </c>
      <c r="R51" s="16">
        <v>53</v>
      </c>
      <c r="S51" s="16">
        <v>4</v>
      </c>
      <c r="T51" s="16">
        <v>2</v>
      </c>
      <c r="U51" s="10">
        <f t="shared" si="11"/>
        <v>2773</v>
      </c>
      <c r="V51" s="16">
        <f>6103+390</f>
        <v>6493</v>
      </c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s="13" customFormat="1" ht="11.25">
      <c r="A52" s="30"/>
      <c r="B52" s="16"/>
      <c r="C52" s="16"/>
      <c r="D52" s="16"/>
      <c r="E52" s="16"/>
      <c r="F52" s="16"/>
      <c r="G52" s="10"/>
      <c r="H52" s="16"/>
      <c r="I52" s="16"/>
      <c r="J52" s="16"/>
      <c r="K52" s="16"/>
      <c r="L52" s="16"/>
      <c r="M52" s="16"/>
      <c r="N52" s="10"/>
      <c r="O52" s="16"/>
      <c r="P52" s="16"/>
      <c r="Q52" s="16"/>
      <c r="R52" s="16"/>
      <c r="S52" s="16"/>
      <c r="T52" s="16"/>
      <c r="U52" s="10"/>
      <c r="V52" s="16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s="13" customFormat="1" ht="11.25">
      <c r="A53" s="30"/>
      <c r="B53" s="16"/>
      <c r="C53" s="16"/>
      <c r="D53" s="16"/>
      <c r="E53" s="16"/>
      <c r="F53" s="16"/>
      <c r="G53" s="10"/>
      <c r="H53" s="16"/>
      <c r="I53" s="16"/>
      <c r="J53" s="16"/>
      <c r="K53" s="16"/>
      <c r="L53" s="16"/>
      <c r="M53" s="16"/>
      <c r="N53" s="10"/>
      <c r="O53" s="16"/>
      <c r="P53" s="16"/>
      <c r="Q53" s="16"/>
      <c r="R53" s="16"/>
      <c r="S53" s="16"/>
      <c r="T53" s="16"/>
      <c r="U53" s="16"/>
      <c r="V53" s="16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13" customFormat="1" ht="12.75">
      <c r="A54" s="24" t="s">
        <v>1</v>
      </c>
      <c r="B54" s="25" t="s">
        <v>24</v>
      </c>
      <c r="C54" s="25"/>
      <c r="D54" s="25"/>
      <c r="E54" s="25"/>
      <c r="F54" s="25"/>
      <c r="G54" s="25"/>
      <c r="H54" s="26"/>
      <c r="I54" s="25" t="s">
        <v>25</v>
      </c>
      <c r="J54" s="25"/>
      <c r="K54" s="25"/>
      <c r="L54" s="25"/>
      <c r="M54" s="25"/>
      <c r="N54" s="25"/>
      <c r="O54" s="26"/>
      <c r="P54"/>
      <c r="Q54"/>
      <c r="R54"/>
      <c r="S54"/>
      <c r="T54"/>
      <c r="U54"/>
      <c r="V54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s="13" customFormat="1" ht="33.75">
      <c r="A55" s="5"/>
      <c r="B55" s="6" t="s">
        <v>29</v>
      </c>
      <c r="C55" s="6" t="s">
        <v>30</v>
      </c>
      <c r="D55" s="6" t="s">
        <v>5</v>
      </c>
      <c r="E55" s="6" t="s">
        <v>6</v>
      </c>
      <c r="F55" s="6" t="s">
        <v>7</v>
      </c>
      <c r="G55" s="6" t="s">
        <v>8</v>
      </c>
      <c r="H55" s="7" t="s">
        <v>9</v>
      </c>
      <c r="I55" s="6" t="s">
        <v>29</v>
      </c>
      <c r="J55" s="6" t="s">
        <v>30</v>
      </c>
      <c r="K55" s="6" t="s">
        <v>5</v>
      </c>
      <c r="L55" s="6" t="s">
        <v>6</v>
      </c>
      <c r="M55" s="6" t="s">
        <v>7</v>
      </c>
      <c r="N55" s="6" t="s">
        <v>8</v>
      </c>
      <c r="O55" s="7" t="s">
        <v>9</v>
      </c>
      <c r="P55"/>
      <c r="Q55"/>
      <c r="R55"/>
      <c r="S55"/>
      <c r="T55"/>
      <c r="U55"/>
      <c r="V55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s="13" customFormat="1" ht="9.75" customHeight="1">
      <c r="A56" s="28" t="s">
        <v>10</v>
      </c>
      <c r="B56" s="32">
        <f>1273+1227+655</f>
        <v>3155</v>
      </c>
      <c r="C56" s="32">
        <v>593</v>
      </c>
      <c r="D56" s="32">
        <v>179</v>
      </c>
      <c r="E56" s="33">
        <v>18</v>
      </c>
      <c r="F56" s="33">
        <v>10</v>
      </c>
      <c r="G56" s="32">
        <v>3955</v>
      </c>
      <c r="H56" s="33">
        <f>11691+655</f>
        <v>12346</v>
      </c>
      <c r="I56" s="29">
        <f aca="true" t="shared" si="12" ref="I56:O63">B6+I6+P6+B19+I19+P19+B32+I32+P32+B44+I44+P44+B56</f>
        <v>41274</v>
      </c>
      <c r="J56" s="29">
        <f t="shared" si="12"/>
        <v>12195</v>
      </c>
      <c r="K56" s="29">
        <f t="shared" si="12"/>
        <v>3072</v>
      </c>
      <c r="L56" s="29">
        <f t="shared" si="12"/>
        <v>240</v>
      </c>
      <c r="M56" s="29">
        <f t="shared" si="12"/>
        <v>160</v>
      </c>
      <c r="N56" s="29">
        <f t="shared" si="12"/>
        <v>56941</v>
      </c>
      <c r="O56" s="29">
        <f t="shared" si="12"/>
        <v>212432</v>
      </c>
      <c r="P56"/>
      <c r="Q56"/>
      <c r="R56"/>
      <c r="S56"/>
      <c r="T56"/>
      <c r="U56"/>
      <c r="V56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13" customFormat="1" ht="9.75" customHeight="1">
      <c r="A57" s="28" t="s">
        <v>11</v>
      </c>
      <c r="B57" s="32">
        <v>2267</v>
      </c>
      <c r="C57" s="32">
        <v>483</v>
      </c>
      <c r="D57" s="32">
        <v>152</v>
      </c>
      <c r="E57" s="33">
        <v>8</v>
      </c>
      <c r="F57" s="33">
        <v>7</v>
      </c>
      <c r="G57" s="34">
        <f aca="true" t="shared" si="13" ref="G57:G63">SUM(B57:F57)</f>
        <v>2917</v>
      </c>
      <c r="H57" s="33">
        <v>9384</v>
      </c>
      <c r="I57" s="29">
        <f t="shared" si="12"/>
        <v>41494</v>
      </c>
      <c r="J57" s="29">
        <f t="shared" si="12"/>
        <v>12405</v>
      </c>
      <c r="K57" s="29">
        <f t="shared" si="12"/>
        <v>3169</v>
      </c>
      <c r="L57" s="29">
        <f t="shared" si="12"/>
        <v>243</v>
      </c>
      <c r="M57" s="29">
        <f t="shared" si="12"/>
        <v>173</v>
      </c>
      <c r="N57" s="29">
        <f t="shared" si="12"/>
        <v>57484</v>
      </c>
      <c r="O57" s="29">
        <f t="shared" si="12"/>
        <v>216590</v>
      </c>
      <c r="P57"/>
      <c r="Q57"/>
      <c r="R57"/>
      <c r="S57"/>
      <c r="T57"/>
      <c r="U57"/>
      <c r="V57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s="13" customFormat="1" ht="9.75" customHeight="1">
      <c r="A58" s="28" t="s">
        <v>12</v>
      </c>
      <c r="B58" s="32">
        <f>1113+874+233</f>
        <v>2220</v>
      </c>
      <c r="C58" s="32">
        <v>472</v>
      </c>
      <c r="D58" s="32">
        <v>143</v>
      </c>
      <c r="E58" s="33">
        <v>8</v>
      </c>
      <c r="F58" s="33">
        <v>6</v>
      </c>
      <c r="G58" s="34">
        <f t="shared" si="13"/>
        <v>2849</v>
      </c>
      <c r="H58" s="33">
        <f>8191+233</f>
        <v>8424</v>
      </c>
      <c r="I58" s="29">
        <f t="shared" si="12"/>
        <v>41889</v>
      </c>
      <c r="J58" s="29">
        <f t="shared" si="12"/>
        <v>12210</v>
      </c>
      <c r="K58" s="29">
        <f t="shared" si="12"/>
        <v>3141</v>
      </c>
      <c r="L58" s="29">
        <f t="shared" si="12"/>
        <v>238</v>
      </c>
      <c r="M58" s="29">
        <f t="shared" si="12"/>
        <v>171</v>
      </c>
      <c r="N58" s="29">
        <f t="shared" si="12"/>
        <v>57649</v>
      </c>
      <c r="O58" s="29">
        <f t="shared" si="12"/>
        <v>212998</v>
      </c>
      <c r="P58"/>
      <c r="Q58"/>
      <c r="R58"/>
      <c r="S58"/>
      <c r="T58"/>
      <c r="U58"/>
      <c r="V5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s="13" customFormat="1" ht="9.75" customHeight="1">
      <c r="A59" s="28" t="s">
        <v>13</v>
      </c>
      <c r="B59" s="32">
        <v>2132</v>
      </c>
      <c r="C59" s="32">
        <v>485</v>
      </c>
      <c r="D59" s="32">
        <v>142</v>
      </c>
      <c r="E59" s="33">
        <v>9</v>
      </c>
      <c r="F59" s="33">
        <v>4</v>
      </c>
      <c r="G59" s="34">
        <f t="shared" si="13"/>
        <v>2772</v>
      </c>
      <c r="H59" s="33">
        <f>8254+173</f>
        <v>8427</v>
      </c>
      <c r="I59" s="29">
        <f t="shared" si="12"/>
        <v>42544</v>
      </c>
      <c r="J59" s="29">
        <f t="shared" si="12"/>
        <v>12607</v>
      </c>
      <c r="K59" s="29">
        <f t="shared" si="12"/>
        <v>3351</v>
      </c>
      <c r="L59" s="29">
        <f t="shared" si="12"/>
        <v>233</v>
      </c>
      <c r="M59" s="29">
        <f t="shared" si="12"/>
        <v>187</v>
      </c>
      <c r="N59" s="29">
        <f t="shared" si="12"/>
        <v>58922</v>
      </c>
      <c r="O59" s="29">
        <f t="shared" si="12"/>
        <v>225679</v>
      </c>
      <c r="P59"/>
      <c r="Q59"/>
      <c r="R59"/>
      <c r="S59"/>
      <c r="T59"/>
      <c r="U59"/>
      <c r="V59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s="13" customFormat="1" ht="11.25">
      <c r="A60" s="30">
        <v>35611</v>
      </c>
      <c r="B60" s="35">
        <f>913+904+232</f>
        <v>2049</v>
      </c>
      <c r="C60" s="35">
        <v>469</v>
      </c>
      <c r="D60" s="35">
        <v>136</v>
      </c>
      <c r="E60" s="35">
        <v>10</v>
      </c>
      <c r="F60" s="35">
        <f>2+2</f>
        <v>4</v>
      </c>
      <c r="G60" s="34">
        <f t="shared" si="13"/>
        <v>2668</v>
      </c>
      <c r="H60" s="35">
        <f>8124+232</f>
        <v>8356</v>
      </c>
      <c r="I60" s="29">
        <f t="shared" si="12"/>
        <v>55195</v>
      </c>
      <c r="J60" s="29">
        <f t="shared" si="12"/>
        <v>12404</v>
      </c>
      <c r="K60" s="29">
        <f t="shared" si="12"/>
        <v>3317</v>
      </c>
      <c r="L60" s="29">
        <f t="shared" si="12"/>
        <v>231</v>
      </c>
      <c r="M60" s="29">
        <f t="shared" si="12"/>
        <v>185</v>
      </c>
      <c r="N60" s="29">
        <f t="shared" si="12"/>
        <v>71332</v>
      </c>
      <c r="O60" s="29">
        <f t="shared" si="12"/>
        <v>236143</v>
      </c>
      <c r="P60" s="29"/>
      <c r="Q60" s="29"/>
      <c r="R60" s="29"/>
      <c r="S60" s="29"/>
      <c r="T60" s="29"/>
      <c r="U60" s="10"/>
      <c r="V60" s="29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s="13" customFormat="1" ht="11.25">
      <c r="A61" s="30">
        <v>35795</v>
      </c>
      <c r="B61" s="12">
        <f>189+892+893</f>
        <v>1974</v>
      </c>
      <c r="C61" s="12">
        <v>484</v>
      </c>
      <c r="D61" s="12">
        <v>140</v>
      </c>
      <c r="E61" s="12">
        <v>10</v>
      </c>
      <c r="F61" s="12">
        <v>4</v>
      </c>
      <c r="G61" s="34">
        <f t="shared" si="13"/>
        <v>2612</v>
      </c>
      <c r="H61" s="12">
        <f>7711+189</f>
        <v>7900</v>
      </c>
      <c r="I61" s="29">
        <f t="shared" si="12"/>
        <v>54681</v>
      </c>
      <c r="J61" s="29">
        <f t="shared" si="12"/>
        <v>13409</v>
      </c>
      <c r="K61" s="29">
        <f t="shared" si="12"/>
        <v>3352</v>
      </c>
      <c r="L61" s="29">
        <f t="shared" si="12"/>
        <v>244</v>
      </c>
      <c r="M61" s="29">
        <f t="shared" si="12"/>
        <v>183</v>
      </c>
      <c r="N61" s="29">
        <f t="shared" si="12"/>
        <v>71869</v>
      </c>
      <c r="O61" s="29">
        <f t="shared" si="12"/>
        <v>239697</v>
      </c>
      <c r="P61" s="29"/>
      <c r="Q61" s="29"/>
      <c r="R61" s="29"/>
      <c r="S61" s="29"/>
      <c r="T61" s="29"/>
      <c r="U61" s="10"/>
      <c r="V61" s="29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s="13" customFormat="1" ht="11.25">
      <c r="A62" s="30">
        <v>35976</v>
      </c>
      <c r="B62" s="12">
        <f>809+860+275</f>
        <v>1944</v>
      </c>
      <c r="C62" s="12">
        <f>469</f>
        <v>469</v>
      </c>
      <c r="D62" s="12">
        <v>142</v>
      </c>
      <c r="E62" s="12">
        <v>10</v>
      </c>
      <c r="F62" s="12">
        <v>4</v>
      </c>
      <c r="G62" s="34">
        <f t="shared" si="13"/>
        <v>2569</v>
      </c>
      <c r="H62" s="12">
        <f>7641+275</f>
        <v>7916</v>
      </c>
      <c r="I62" s="29">
        <f t="shared" si="12"/>
        <v>54091</v>
      </c>
      <c r="J62" s="29">
        <f t="shared" si="12"/>
        <v>12980</v>
      </c>
      <c r="K62" s="29">
        <f t="shared" si="12"/>
        <v>3305</v>
      </c>
      <c r="L62" s="29">
        <f t="shared" si="12"/>
        <v>248</v>
      </c>
      <c r="M62" s="29">
        <f t="shared" si="12"/>
        <v>186</v>
      </c>
      <c r="N62" s="29">
        <f t="shared" si="12"/>
        <v>70810</v>
      </c>
      <c r="O62" s="29">
        <f t="shared" si="12"/>
        <v>237130</v>
      </c>
      <c r="P62" s="29"/>
      <c r="Q62" s="29"/>
      <c r="R62" s="29"/>
      <c r="S62" s="29"/>
      <c r="T62" s="29"/>
      <c r="U62" s="10"/>
      <c r="V62" s="29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s="13" customFormat="1" ht="11.25">
      <c r="A63" s="30">
        <v>36160</v>
      </c>
      <c r="B63" s="12">
        <f>319+761+847</f>
        <v>1927</v>
      </c>
      <c r="C63" s="12">
        <v>451</v>
      </c>
      <c r="D63" s="12">
        <v>134</v>
      </c>
      <c r="E63" s="12">
        <v>10</v>
      </c>
      <c r="F63" s="12">
        <v>4</v>
      </c>
      <c r="G63" s="34">
        <f t="shared" si="13"/>
        <v>2526</v>
      </c>
      <c r="H63" s="12">
        <f>319+7429</f>
        <v>7748</v>
      </c>
      <c r="I63" s="29">
        <f t="shared" si="12"/>
        <v>54857</v>
      </c>
      <c r="J63" s="29">
        <f t="shared" si="12"/>
        <v>12742</v>
      </c>
      <c r="K63" s="29">
        <f t="shared" si="12"/>
        <v>3248</v>
      </c>
      <c r="L63" s="29">
        <f t="shared" si="12"/>
        <v>238</v>
      </c>
      <c r="M63" s="29">
        <f t="shared" si="12"/>
        <v>176</v>
      </c>
      <c r="N63" s="29">
        <f t="shared" si="12"/>
        <v>71261</v>
      </c>
      <c r="O63" s="29">
        <f t="shared" si="12"/>
        <v>232842</v>
      </c>
      <c r="P63" s="29"/>
      <c r="Q63" s="29"/>
      <c r="R63" s="29"/>
      <c r="S63" s="29"/>
      <c r="T63" s="29"/>
      <c r="U63" s="10"/>
      <c r="V63" s="29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s="13" customFormat="1" ht="11.25">
      <c r="A64" s="30"/>
      <c r="B64" s="12"/>
      <c r="C64" s="12"/>
      <c r="D64" s="12"/>
      <c r="E64" s="12"/>
      <c r="F64" s="12"/>
      <c r="G64" s="34"/>
      <c r="H64" s="12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10"/>
      <c r="V64" s="29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s="13" customFormat="1" ht="11.25">
      <c r="A65" s="28"/>
      <c r="B65" s="12"/>
      <c r="C65" s="12"/>
      <c r="D65" s="12"/>
      <c r="E65" s="12"/>
      <c r="F65" s="12"/>
      <c r="G65" s="10"/>
      <c r="H65" s="1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s="13" customFormat="1" ht="11.25">
      <c r="A66" s="36" t="s">
        <v>26</v>
      </c>
      <c r="B66" s="12"/>
      <c r="C66" s="12"/>
      <c r="D66" s="12"/>
      <c r="E66" s="12"/>
      <c r="F66" s="12"/>
      <c r="G66" s="10"/>
      <c r="H66" s="1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s="13" customFormat="1" ht="11.25">
      <c r="A67" s="36" t="s">
        <v>27</v>
      </c>
      <c r="B67" s="12"/>
      <c r="C67" s="12"/>
      <c r="D67" s="12"/>
      <c r="E67" s="12"/>
      <c r="F67" s="12"/>
      <c r="G67" s="10"/>
      <c r="H67" s="1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s="13" customFormat="1" ht="11.25">
      <c r="A68" s="36" t="s">
        <v>28</v>
      </c>
      <c r="B68" s="12"/>
      <c r="C68" s="12"/>
      <c r="D68" s="12"/>
      <c r="E68" s="12"/>
      <c r="F68" s="12"/>
      <c r="G68" s="10"/>
      <c r="H68" s="1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8"/>
      <c r="X68" s="18"/>
      <c r="Y68" s="18"/>
      <c r="Z68" s="18"/>
      <c r="AA68" s="18"/>
      <c r="AB68" s="18"/>
      <c r="AC68" s="18"/>
      <c r="AD68" s="18"/>
      <c r="AE68" s="18"/>
    </row>
    <row r="72" spans="2:8" ht="11.25">
      <c r="B72" s="15"/>
      <c r="C72" s="15"/>
      <c r="D72" s="15"/>
      <c r="E72" s="15"/>
      <c r="F72" s="15"/>
      <c r="G72" s="15"/>
      <c r="H72" s="15"/>
    </row>
    <row r="73" spans="2:8" ht="11.25">
      <c r="B73" s="15"/>
      <c r="C73" s="15"/>
      <c r="D73" s="15"/>
      <c r="E73" s="15"/>
      <c r="F73" s="15"/>
      <c r="G73" s="15"/>
      <c r="H73" s="15"/>
    </row>
    <row r="74" spans="2:8" ht="11.25">
      <c r="B74" s="15"/>
      <c r="C74" s="15"/>
      <c r="D74" s="15"/>
      <c r="E74" s="15"/>
      <c r="F74" s="15"/>
      <c r="G74" s="15"/>
      <c r="H74" s="15"/>
    </row>
    <row r="75" spans="2:8" ht="11.25">
      <c r="B75" s="15"/>
      <c r="C75" s="15"/>
      <c r="D75" s="15"/>
      <c r="E75" s="15"/>
      <c r="F75" s="15"/>
      <c r="G75" s="15"/>
      <c r="H75" s="15"/>
    </row>
    <row r="76" spans="2:8" ht="11.25">
      <c r="B76" s="15"/>
      <c r="C76" s="15"/>
      <c r="D76" s="15"/>
      <c r="E76" s="15"/>
      <c r="F76" s="15"/>
      <c r="G76" s="15"/>
      <c r="H76" s="15"/>
    </row>
    <row r="77" spans="2:8" ht="11.25">
      <c r="B77" s="15"/>
      <c r="C77" s="15"/>
      <c r="D77" s="15"/>
      <c r="E77" s="15"/>
      <c r="F77" s="15"/>
      <c r="G77" s="15"/>
      <c r="H77" s="15"/>
    </row>
    <row r="78" spans="2:8" ht="11.25">
      <c r="B78" s="15"/>
      <c r="C78" s="15"/>
      <c r="D78" s="15"/>
      <c r="E78" s="15"/>
      <c r="F78" s="15"/>
      <c r="G78" s="15"/>
      <c r="H78" s="15"/>
    </row>
    <row r="79" spans="2:8" ht="11.25">
      <c r="B79" s="15"/>
      <c r="C79" s="15"/>
      <c r="D79" s="15"/>
      <c r="E79" s="15"/>
      <c r="F79" s="15"/>
      <c r="G79" s="15"/>
      <c r="H79" s="15"/>
    </row>
  </sheetData>
  <sheetProtection/>
  <printOptions/>
  <pageMargins left="0.11811023622047245" right="0.11811023622047245" top="0.3937007874015748" bottom="0.1968503937007874" header="0.1968503937007874" footer="0.11811023622047245"/>
  <pageSetup fitToHeight="1" fitToWidth="1" horizontalDpi="300" verticalDpi="300" orientation="landscape" paperSize="9" scale="6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8.57421875" style="0" customWidth="1"/>
    <col min="2" max="2" width="10.140625" style="0" bestFit="1" customWidth="1"/>
    <col min="3" max="4" width="10.00390625" style="0" bestFit="1" customWidth="1"/>
    <col min="6" max="6" width="10.00390625" style="0" bestFit="1" customWidth="1"/>
    <col min="8" max="8" width="10.00390625" style="0" bestFit="1" customWidth="1"/>
    <col min="9" max="9" width="10.421875" style="0" customWidth="1"/>
    <col min="10" max="10" width="10.140625" style="0" customWidth="1"/>
  </cols>
  <sheetData>
    <row r="1" spans="1:10" ht="15">
      <c r="A1" s="56" t="s">
        <v>109</v>
      </c>
      <c r="B1" s="57"/>
      <c r="C1" s="57"/>
      <c r="D1" s="57"/>
      <c r="E1" s="57"/>
      <c r="F1" s="57"/>
      <c r="G1" s="57"/>
      <c r="H1" s="57"/>
      <c r="I1" s="58"/>
      <c r="J1" s="59"/>
    </row>
    <row r="2" spans="1:9" ht="15">
      <c r="A2" s="38"/>
      <c r="B2" s="38"/>
      <c r="C2" s="38"/>
      <c r="D2" s="38"/>
      <c r="E2" s="38"/>
      <c r="F2" s="38"/>
      <c r="G2" s="38"/>
      <c r="H2" s="38"/>
      <c r="I2" s="38"/>
    </row>
    <row r="3" spans="1:12" ht="15" customHeight="1">
      <c r="A3" s="46" t="s">
        <v>77</v>
      </c>
      <c r="B3" s="47" t="s">
        <v>50</v>
      </c>
      <c r="C3" s="48" t="s">
        <v>51</v>
      </c>
      <c r="D3" s="47" t="s">
        <v>52</v>
      </c>
      <c r="E3" s="48" t="s">
        <v>53</v>
      </c>
      <c r="F3" s="47" t="s">
        <v>54</v>
      </c>
      <c r="G3" s="48" t="s">
        <v>55</v>
      </c>
      <c r="H3" s="47" t="s">
        <v>56</v>
      </c>
      <c r="I3" s="47" t="s">
        <v>57</v>
      </c>
      <c r="J3" s="49" t="s">
        <v>74</v>
      </c>
      <c r="K3" s="47" t="s">
        <v>75</v>
      </c>
      <c r="L3" s="47" t="s">
        <v>76</v>
      </c>
    </row>
    <row r="4" spans="1:12" ht="12.75">
      <c r="A4" s="39" t="s">
        <v>60</v>
      </c>
      <c r="B4" s="44">
        <v>11983</v>
      </c>
      <c r="C4" s="44">
        <v>11845</v>
      </c>
      <c r="D4" s="44">
        <v>11804</v>
      </c>
      <c r="E4" s="44">
        <v>11593</v>
      </c>
      <c r="F4" s="44">
        <v>11468</v>
      </c>
      <c r="G4" s="44">
        <v>11373</v>
      </c>
      <c r="H4" s="44">
        <v>11324</v>
      </c>
      <c r="I4" s="44">
        <v>11127</v>
      </c>
      <c r="J4" s="44">
        <v>11066</v>
      </c>
      <c r="K4" s="44">
        <v>10759</v>
      </c>
      <c r="L4" s="44">
        <v>10713</v>
      </c>
    </row>
    <row r="5" spans="1:12" ht="12.75">
      <c r="A5" s="40" t="s">
        <v>58</v>
      </c>
      <c r="B5" s="42">
        <v>39</v>
      </c>
      <c r="C5" s="42">
        <v>40</v>
      </c>
      <c r="D5" s="42">
        <v>38</v>
      </c>
      <c r="E5" s="42">
        <v>39</v>
      </c>
      <c r="F5" s="42">
        <v>39</v>
      </c>
      <c r="G5" s="42">
        <v>40</v>
      </c>
      <c r="H5" s="42">
        <v>39</v>
      </c>
      <c r="I5" s="42">
        <v>34</v>
      </c>
      <c r="J5" s="42">
        <v>36</v>
      </c>
      <c r="K5" s="42">
        <v>34</v>
      </c>
      <c r="L5" s="42">
        <v>35</v>
      </c>
    </row>
    <row r="6" spans="1:12" ht="12.75">
      <c r="A6" s="40" t="s">
        <v>59</v>
      </c>
      <c r="B6" s="42">
        <v>97</v>
      </c>
      <c r="C6" s="42">
        <v>96</v>
      </c>
      <c r="D6" s="42">
        <v>90</v>
      </c>
      <c r="E6" s="42">
        <v>95</v>
      </c>
      <c r="F6" s="42">
        <v>90</v>
      </c>
      <c r="G6" s="42">
        <v>80</v>
      </c>
      <c r="H6" s="42">
        <v>79</v>
      </c>
      <c r="I6" s="42">
        <v>78</v>
      </c>
      <c r="J6" s="42">
        <v>76</v>
      </c>
      <c r="K6" s="42">
        <v>80</v>
      </c>
      <c r="L6" s="42">
        <v>78</v>
      </c>
    </row>
    <row r="7" spans="1:12" ht="12.75">
      <c r="A7" s="40" t="s">
        <v>61</v>
      </c>
      <c r="B7" s="44">
        <v>14590</v>
      </c>
      <c r="C7" s="44">
        <v>14692</v>
      </c>
      <c r="D7" s="44">
        <v>14866</v>
      </c>
      <c r="E7" s="44">
        <v>15023</v>
      </c>
      <c r="F7" s="44">
        <v>15102</v>
      </c>
      <c r="G7" s="44">
        <v>15156</v>
      </c>
      <c r="H7" s="44">
        <v>15249</v>
      </c>
      <c r="I7" s="44">
        <v>15152</v>
      </c>
      <c r="J7" s="44">
        <v>15160</v>
      </c>
      <c r="K7" s="44">
        <v>15101</v>
      </c>
      <c r="L7" s="44">
        <v>15011</v>
      </c>
    </row>
    <row r="8" spans="1:12" ht="12.75">
      <c r="A8" s="40" t="s">
        <v>62</v>
      </c>
      <c r="B8" s="42">
        <v>28</v>
      </c>
      <c r="C8" s="42">
        <v>32</v>
      </c>
      <c r="D8" s="42">
        <v>38</v>
      </c>
      <c r="E8" s="42">
        <v>38</v>
      </c>
      <c r="F8" s="42">
        <v>41</v>
      </c>
      <c r="G8" s="42">
        <v>36</v>
      </c>
      <c r="H8" s="42">
        <v>37</v>
      </c>
      <c r="I8" s="42">
        <v>40</v>
      </c>
      <c r="J8" s="42">
        <v>38</v>
      </c>
      <c r="K8" s="42">
        <v>42</v>
      </c>
      <c r="L8" s="42">
        <v>44</v>
      </c>
    </row>
    <row r="9" spans="1:12" ht="12.75">
      <c r="A9" s="40" t="s">
        <v>63</v>
      </c>
      <c r="B9" s="44">
        <v>8211</v>
      </c>
      <c r="C9" s="44">
        <v>8547</v>
      </c>
      <c r="D9" s="44">
        <v>8969</v>
      </c>
      <c r="E9" s="44">
        <v>9236</v>
      </c>
      <c r="F9" s="44">
        <v>9473</v>
      </c>
      <c r="G9" s="44">
        <v>9860</v>
      </c>
      <c r="H9" s="44">
        <v>10174</v>
      </c>
      <c r="I9" s="44">
        <v>10428</v>
      </c>
      <c r="J9" s="44">
        <v>10630</v>
      </c>
      <c r="K9" s="44">
        <v>11065</v>
      </c>
      <c r="L9" s="44">
        <v>11257</v>
      </c>
    </row>
    <row r="10" spans="1:12" ht="12.75">
      <c r="A10" s="40" t="s">
        <v>64</v>
      </c>
      <c r="B10" s="44">
        <v>17221</v>
      </c>
      <c r="C10" s="44">
        <v>17339</v>
      </c>
      <c r="D10" s="44">
        <v>17494</v>
      </c>
      <c r="E10" s="44">
        <v>17575</v>
      </c>
      <c r="F10" s="44">
        <v>17700</v>
      </c>
      <c r="G10" s="44">
        <v>17680</v>
      </c>
      <c r="H10" s="44">
        <v>17894</v>
      </c>
      <c r="I10" s="44">
        <v>17974</v>
      </c>
      <c r="J10" s="44">
        <v>18024</v>
      </c>
      <c r="K10" s="44">
        <v>18128</v>
      </c>
      <c r="L10" s="44">
        <v>18269</v>
      </c>
    </row>
    <row r="11" spans="1:12" ht="12.75">
      <c r="A11" s="40" t="s">
        <v>65</v>
      </c>
      <c r="B11" s="44">
        <v>2602</v>
      </c>
      <c r="C11" s="44">
        <v>2635</v>
      </c>
      <c r="D11" s="44">
        <v>2676</v>
      </c>
      <c r="E11" s="44">
        <v>2728</v>
      </c>
      <c r="F11" s="44">
        <v>2748</v>
      </c>
      <c r="G11" s="44">
        <v>2750</v>
      </c>
      <c r="H11" s="44">
        <v>2810</v>
      </c>
      <c r="I11" s="44">
        <v>2881</v>
      </c>
      <c r="J11" s="44">
        <v>2888</v>
      </c>
      <c r="K11" s="44">
        <v>2970</v>
      </c>
      <c r="L11" s="44">
        <v>3040</v>
      </c>
    </row>
    <row r="12" spans="1:12" ht="12.75">
      <c r="A12" s="40" t="s">
        <v>66</v>
      </c>
      <c r="B12" s="44">
        <v>3194</v>
      </c>
      <c r="C12" s="44">
        <v>3171</v>
      </c>
      <c r="D12" s="44">
        <v>3322</v>
      </c>
      <c r="E12" s="44">
        <v>3411</v>
      </c>
      <c r="F12" s="44">
        <v>3418</v>
      </c>
      <c r="G12" s="44">
        <v>3490</v>
      </c>
      <c r="H12" s="44">
        <v>3523</v>
      </c>
      <c r="I12" s="44">
        <v>3561</v>
      </c>
      <c r="J12" s="44">
        <v>3587</v>
      </c>
      <c r="K12" s="44">
        <v>3633</v>
      </c>
      <c r="L12" s="44">
        <v>3685</v>
      </c>
    </row>
    <row r="13" spans="1:12" ht="12.75">
      <c r="A13" s="40" t="s">
        <v>67</v>
      </c>
      <c r="B13" s="44">
        <v>1787</v>
      </c>
      <c r="C13" s="44">
        <v>1870</v>
      </c>
      <c r="D13" s="44">
        <v>1958</v>
      </c>
      <c r="E13" s="44">
        <v>2046</v>
      </c>
      <c r="F13" s="44">
        <v>2128</v>
      </c>
      <c r="G13" s="44">
        <v>2107</v>
      </c>
      <c r="H13" s="44">
        <v>2113</v>
      </c>
      <c r="I13" s="44">
        <v>2124</v>
      </c>
      <c r="J13" s="44">
        <v>2147</v>
      </c>
      <c r="K13" s="44">
        <v>2073</v>
      </c>
      <c r="L13" s="44">
        <v>2078</v>
      </c>
    </row>
    <row r="14" spans="1:12" ht="12.75">
      <c r="A14" s="40" t="s">
        <v>68</v>
      </c>
      <c r="B14" s="44">
        <v>6850</v>
      </c>
      <c r="C14" s="44">
        <v>7153</v>
      </c>
      <c r="D14" s="44">
        <v>7505</v>
      </c>
      <c r="E14" s="44">
        <v>7910</v>
      </c>
      <c r="F14" s="44">
        <v>8216</v>
      </c>
      <c r="G14" s="44">
        <v>8501</v>
      </c>
      <c r="H14" s="44">
        <v>8844</v>
      </c>
      <c r="I14" s="44">
        <v>9065</v>
      </c>
      <c r="J14" s="44">
        <v>9162</v>
      </c>
      <c r="K14" s="44">
        <v>9642</v>
      </c>
      <c r="L14" s="44">
        <v>9861</v>
      </c>
    </row>
    <row r="15" spans="1:12" ht="12.75">
      <c r="A15" s="40" t="s">
        <v>69</v>
      </c>
      <c r="B15" s="42">
        <v>1</v>
      </c>
      <c r="C15" s="44">
        <v>0</v>
      </c>
      <c r="D15" s="44">
        <v>0</v>
      </c>
      <c r="E15" s="42">
        <v>1</v>
      </c>
      <c r="F15" s="42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</row>
    <row r="16" spans="1:12" ht="12.75">
      <c r="A16" s="40" t="s">
        <v>70</v>
      </c>
      <c r="B16" s="42">
        <v>168</v>
      </c>
      <c r="C16" s="42">
        <v>171</v>
      </c>
      <c r="D16" s="42">
        <v>184</v>
      </c>
      <c r="E16" s="42">
        <v>193</v>
      </c>
      <c r="F16" s="42">
        <v>200</v>
      </c>
      <c r="G16" s="42">
        <v>197</v>
      </c>
      <c r="H16" s="42">
        <v>201</v>
      </c>
      <c r="I16" s="42">
        <v>207</v>
      </c>
      <c r="J16" s="44">
        <v>213</v>
      </c>
      <c r="K16" s="44">
        <v>226</v>
      </c>
      <c r="L16" s="44">
        <v>227</v>
      </c>
    </row>
    <row r="17" spans="1:12" ht="12.75">
      <c r="A17" s="40" t="s">
        <v>71</v>
      </c>
      <c r="B17" s="42">
        <v>217</v>
      </c>
      <c r="C17" s="42">
        <v>225</v>
      </c>
      <c r="D17" s="42">
        <v>218</v>
      </c>
      <c r="E17" s="42">
        <v>229</v>
      </c>
      <c r="F17" s="42">
        <v>237</v>
      </c>
      <c r="G17" s="42">
        <v>243</v>
      </c>
      <c r="H17" s="42">
        <v>245</v>
      </c>
      <c r="I17" s="42">
        <v>250</v>
      </c>
      <c r="J17" s="44">
        <v>250</v>
      </c>
      <c r="K17" s="44">
        <v>273</v>
      </c>
      <c r="L17" s="44">
        <v>289</v>
      </c>
    </row>
    <row r="18" spans="1:12" ht="12.75">
      <c r="A18" s="40" t="s">
        <v>72</v>
      </c>
      <c r="B18" s="44">
        <v>2797</v>
      </c>
      <c r="C18" s="44">
        <v>2822</v>
      </c>
      <c r="D18" s="44">
        <v>2857</v>
      </c>
      <c r="E18" s="44">
        <v>2865</v>
      </c>
      <c r="F18" s="44">
        <v>2869</v>
      </c>
      <c r="G18" s="44">
        <v>2895</v>
      </c>
      <c r="H18" s="44">
        <v>2928</v>
      </c>
      <c r="I18" s="44">
        <v>2953</v>
      </c>
      <c r="J18" s="44">
        <v>2969</v>
      </c>
      <c r="K18" s="44">
        <v>3028</v>
      </c>
      <c r="L18" s="44">
        <v>3033</v>
      </c>
    </row>
    <row r="19" spans="1:12" ht="12.75">
      <c r="A19" s="40" t="s">
        <v>73</v>
      </c>
      <c r="B19" s="44">
        <v>2522</v>
      </c>
      <c r="C19" s="44">
        <v>2416</v>
      </c>
      <c r="D19" s="44">
        <v>1845</v>
      </c>
      <c r="E19" s="44">
        <v>1636</v>
      </c>
      <c r="F19" s="44">
        <v>1491</v>
      </c>
      <c r="G19" s="44">
        <v>1061</v>
      </c>
      <c r="H19" s="42">
        <v>842</v>
      </c>
      <c r="I19" s="42">
        <v>821</v>
      </c>
      <c r="J19" s="44">
        <v>804</v>
      </c>
      <c r="K19" s="44">
        <v>718</v>
      </c>
      <c r="L19" s="44">
        <v>682</v>
      </c>
    </row>
    <row r="20" spans="1:12" ht="12.75">
      <c r="A20" s="41" t="s">
        <v>25</v>
      </c>
      <c r="B20" s="45">
        <v>72307</v>
      </c>
      <c r="C20" s="45">
        <v>73054</v>
      </c>
      <c r="D20" s="45">
        <v>73864</v>
      </c>
      <c r="E20" s="45">
        <v>74618</v>
      </c>
      <c r="F20" s="45">
        <v>75221</v>
      </c>
      <c r="G20" s="45">
        <v>75469</v>
      </c>
      <c r="H20" s="45">
        <v>76302</v>
      </c>
      <c r="I20" s="45">
        <f>SUM(I4:I19)</f>
        <v>76695</v>
      </c>
      <c r="J20" s="45">
        <f>SUM(J4:J19)</f>
        <v>77050</v>
      </c>
      <c r="K20" s="45">
        <f>SUM(K4:K19)</f>
        <v>77772</v>
      </c>
      <c r="L20" s="45">
        <f>SUM(L4:L19)</f>
        <v>78302</v>
      </c>
    </row>
    <row r="21" spans="1:9" ht="12.75">
      <c r="A21" s="42"/>
      <c r="I21" s="37"/>
    </row>
    <row r="22" spans="1:12" ht="12.75">
      <c r="A22" s="46" t="s">
        <v>77</v>
      </c>
      <c r="B22" s="49" t="s">
        <v>79</v>
      </c>
      <c r="C22" s="49">
        <v>38717</v>
      </c>
      <c r="D22" s="49">
        <v>38898</v>
      </c>
      <c r="E22" s="49">
        <v>39082</v>
      </c>
      <c r="F22" s="49">
        <v>39263</v>
      </c>
      <c r="G22" s="49">
        <v>39447</v>
      </c>
      <c r="H22" s="49">
        <v>39629</v>
      </c>
      <c r="I22" s="49">
        <v>39813</v>
      </c>
      <c r="J22" s="49">
        <v>39994</v>
      </c>
      <c r="K22" s="49">
        <v>40178</v>
      </c>
      <c r="L22" s="50"/>
    </row>
    <row r="23" spans="1:12" ht="12.75">
      <c r="A23" s="40" t="s">
        <v>60</v>
      </c>
      <c r="B23" s="44">
        <v>10507</v>
      </c>
      <c r="C23" s="44">
        <v>10438</v>
      </c>
      <c r="D23" s="44">
        <v>10277</v>
      </c>
      <c r="E23" s="44">
        <v>10232</v>
      </c>
      <c r="F23" s="44">
        <v>10410</v>
      </c>
      <c r="G23" s="44">
        <v>10368</v>
      </c>
      <c r="H23" s="44">
        <v>10212</v>
      </c>
      <c r="I23" s="44">
        <v>10152</v>
      </c>
      <c r="J23" s="44">
        <v>10052</v>
      </c>
      <c r="K23" s="42">
        <f>9916+79</f>
        <v>9995</v>
      </c>
      <c r="L23" s="42"/>
    </row>
    <row r="24" spans="1:12" ht="12.75">
      <c r="A24" s="40" t="s">
        <v>58</v>
      </c>
      <c r="B24" s="44">
        <v>31</v>
      </c>
      <c r="C24" s="44">
        <v>29</v>
      </c>
      <c r="D24" s="44">
        <v>28</v>
      </c>
      <c r="E24" s="44">
        <v>26</v>
      </c>
      <c r="F24" s="44">
        <v>26</v>
      </c>
      <c r="G24" s="44">
        <v>26</v>
      </c>
      <c r="H24" s="44">
        <v>21</v>
      </c>
      <c r="I24" s="44">
        <v>21</v>
      </c>
      <c r="J24" s="44">
        <v>21</v>
      </c>
      <c r="K24" s="42">
        <v>21</v>
      </c>
      <c r="L24" s="42"/>
    </row>
    <row r="25" spans="1:12" ht="12.75">
      <c r="A25" s="40" t="s">
        <v>59</v>
      </c>
      <c r="B25" s="44">
        <v>78</v>
      </c>
      <c r="C25" s="44">
        <v>79</v>
      </c>
      <c r="D25" s="44">
        <v>80</v>
      </c>
      <c r="E25" s="44">
        <v>87</v>
      </c>
      <c r="F25" s="44">
        <v>83</v>
      </c>
      <c r="G25" s="44">
        <v>81</v>
      </c>
      <c r="H25" s="44">
        <v>77</v>
      </c>
      <c r="I25" s="44">
        <v>75</v>
      </c>
      <c r="J25" s="44">
        <v>73</v>
      </c>
      <c r="K25" s="42">
        <f>2+66</f>
        <v>68</v>
      </c>
      <c r="L25" s="42"/>
    </row>
    <row r="26" spans="1:12" ht="12.75">
      <c r="A26" s="40" t="s">
        <v>61</v>
      </c>
      <c r="B26" s="44">
        <v>14963</v>
      </c>
      <c r="C26" s="44">
        <v>14987</v>
      </c>
      <c r="D26" s="44">
        <v>14916</v>
      </c>
      <c r="E26" s="44">
        <v>14868</v>
      </c>
      <c r="F26" s="44">
        <v>14893</v>
      </c>
      <c r="G26" s="44">
        <v>14723</v>
      </c>
      <c r="H26" s="44">
        <v>15122</v>
      </c>
      <c r="I26" s="44">
        <v>15029</v>
      </c>
      <c r="J26" s="44">
        <v>14898</v>
      </c>
      <c r="K26" s="42">
        <f>1862+1689+1364+135+501+142+521+7+182+290+928+80+2733+1991+64+390+128+555+142+46+832+45</f>
        <v>14627</v>
      </c>
      <c r="L26" s="42"/>
    </row>
    <row r="27" spans="1:12" ht="12.75">
      <c r="A27" s="40" t="s">
        <v>62</v>
      </c>
      <c r="B27" s="44">
        <v>47</v>
      </c>
      <c r="C27" s="44">
        <v>47</v>
      </c>
      <c r="D27" s="44">
        <v>55</v>
      </c>
      <c r="E27" s="44">
        <v>58</v>
      </c>
      <c r="F27" s="44">
        <v>57</v>
      </c>
      <c r="G27" s="44">
        <v>61</v>
      </c>
      <c r="H27" s="44">
        <v>78</v>
      </c>
      <c r="I27" s="44">
        <v>78</v>
      </c>
      <c r="J27" s="44">
        <v>90</v>
      </c>
      <c r="K27" s="42">
        <f>71+26</f>
        <v>97</v>
      </c>
      <c r="L27" s="42"/>
    </row>
    <row r="28" spans="1:12" ht="12.75">
      <c r="A28" s="40" t="s">
        <v>63</v>
      </c>
      <c r="B28" s="44">
        <v>11619</v>
      </c>
      <c r="C28" s="44">
        <v>11819</v>
      </c>
      <c r="D28" s="44">
        <v>11993</v>
      </c>
      <c r="E28" s="44">
        <v>12298</v>
      </c>
      <c r="F28" s="44">
        <v>12650</v>
      </c>
      <c r="G28" s="44">
        <v>12552</v>
      </c>
      <c r="H28" s="44">
        <v>12674</v>
      </c>
      <c r="I28" s="44">
        <v>12618</v>
      </c>
      <c r="J28" s="44">
        <v>12535</v>
      </c>
      <c r="K28" s="42">
        <v>12291</v>
      </c>
      <c r="L28" s="42"/>
    </row>
    <row r="29" spans="1:12" ht="12.75">
      <c r="A29" s="40" t="s">
        <v>64</v>
      </c>
      <c r="B29" s="44">
        <v>18386</v>
      </c>
      <c r="C29" s="44">
        <v>18628</v>
      </c>
      <c r="D29" s="44">
        <v>18672</v>
      </c>
      <c r="E29" s="44">
        <v>18773</v>
      </c>
      <c r="F29" s="44">
        <v>18780</v>
      </c>
      <c r="G29" s="44">
        <v>18782</v>
      </c>
      <c r="H29" s="44">
        <v>19031</v>
      </c>
      <c r="I29" s="44">
        <v>18982</v>
      </c>
      <c r="J29" s="44">
        <v>19003</v>
      </c>
      <c r="K29" s="42">
        <f>2294+7219+9512</f>
        <v>19025</v>
      </c>
      <c r="L29" s="42"/>
    </row>
    <row r="30" spans="1:12" ht="12.75">
      <c r="A30" s="40" t="s">
        <v>65</v>
      </c>
      <c r="B30" s="44">
        <v>3123</v>
      </c>
      <c r="C30" s="44">
        <v>3195</v>
      </c>
      <c r="D30" s="44">
        <v>3231</v>
      </c>
      <c r="E30" s="44">
        <v>3311</v>
      </c>
      <c r="F30" s="44">
        <v>3349</v>
      </c>
      <c r="G30" s="44">
        <v>3352</v>
      </c>
      <c r="H30" s="44">
        <v>3450</v>
      </c>
      <c r="I30" s="44">
        <v>3462</v>
      </c>
      <c r="J30" s="44">
        <v>3484</v>
      </c>
      <c r="K30" s="42">
        <v>3488</v>
      </c>
      <c r="L30" s="42"/>
    </row>
    <row r="31" spans="1:12" ht="12.75">
      <c r="A31" s="40" t="s">
        <v>66</v>
      </c>
      <c r="B31" s="44">
        <v>3719</v>
      </c>
      <c r="C31" s="44">
        <v>3731</v>
      </c>
      <c r="D31" s="44">
        <v>3663</v>
      </c>
      <c r="E31" s="44">
        <v>3656</v>
      </c>
      <c r="F31" s="44">
        <v>3589</v>
      </c>
      <c r="G31" s="44">
        <v>3534</v>
      </c>
      <c r="H31" s="44">
        <v>3535</v>
      </c>
      <c r="I31" s="44">
        <v>3473</v>
      </c>
      <c r="J31" s="44">
        <v>3425</v>
      </c>
      <c r="K31" s="42">
        <f>2622+1+1+633+128</f>
        <v>3385</v>
      </c>
      <c r="L31" s="42"/>
    </row>
    <row r="32" spans="1:12" ht="12.75">
      <c r="A32" s="40" t="s">
        <v>67</v>
      </c>
      <c r="B32" s="44">
        <v>2059</v>
      </c>
      <c r="C32" s="44">
        <v>2099</v>
      </c>
      <c r="D32" s="44">
        <v>2132</v>
      </c>
      <c r="E32" s="44">
        <v>2158</v>
      </c>
      <c r="F32" s="44">
        <v>2166</v>
      </c>
      <c r="G32" s="44">
        <v>2214</v>
      </c>
      <c r="H32" s="44">
        <v>2206</v>
      </c>
      <c r="I32" s="44">
        <v>2199</v>
      </c>
      <c r="J32" s="44">
        <v>2213</v>
      </c>
      <c r="K32" s="42">
        <f>739+14+1457</f>
        <v>2210</v>
      </c>
      <c r="L32" s="42"/>
    </row>
    <row r="33" spans="1:12" ht="12.75">
      <c r="A33" s="40" t="s">
        <v>68</v>
      </c>
      <c r="B33" s="44">
        <v>10222</v>
      </c>
      <c r="C33" s="44">
        <v>10457</v>
      </c>
      <c r="D33" s="44">
        <v>10801</v>
      </c>
      <c r="E33" s="44">
        <v>10918</v>
      </c>
      <c r="F33" s="44">
        <v>11157</v>
      </c>
      <c r="G33" s="44">
        <v>11210</v>
      </c>
      <c r="H33" s="44">
        <v>11493</v>
      </c>
      <c r="I33" s="44">
        <v>11548</v>
      </c>
      <c r="J33" s="44">
        <v>11619</v>
      </c>
      <c r="K33" s="42">
        <f>5568+290+1271+70+4392</f>
        <v>11591</v>
      </c>
      <c r="L33" s="42"/>
    </row>
    <row r="34" spans="1:12" ht="12.75">
      <c r="A34" s="40" t="s">
        <v>69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2">
        <v>0</v>
      </c>
      <c r="L34" s="42"/>
    </row>
    <row r="35" spans="1:12" ht="12.75">
      <c r="A35" s="40" t="s">
        <v>70</v>
      </c>
      <c r="B35" s="44">
        <v>227</v>
      </c>
      <c r="C35" s="44">
        <v>240</v>
      </c>
      <c r="D35" s="44">
        <v>242</v>
      </c>
      <c r="E35" s="44">
        <v>241</v>
      </c>
      <c r="F35" s="44">
        <v>250</v>
      </c>
      <c r="G35" s="44">
        <v>256</v>
      </c>
      <c r="H35" s="44">
        <v>268</v>
      </c>
      <c r="I35" s="44">
        <v>268</v>
      </c>
      <c r="J35" s="44">
        <v>279</v>
      </c>
      <c r="K35" s="42">
        <v>270</v>
      </c>
      <c r="L35" s="42"/>
    </row>
    <row r="36" spans="1:12" ht="12.75">
      <c r="A36" s="40" t="s">
        <v>71</v>
      </c>
      <c r="B36" s="44">
        <v>293</v>
      </c>
      <c r="C36" s="44">
        <v>316</v>
      </c>
      <c r="D36" s="44">
        <v>323</v>
      </c>
      <c r="E36" s="44">
        <v>327</v>
      </c>
      <c r="F36" s="44">
        <v>325</v>
      </c>
      <c r="G36" s="44">
        <v>328</v>
      </c>
      <c r="H36" s="44">
        <v>334</v>
      </c>
      <c r="I36" s="44">
        <v>322</v>
      </c>
      <c r="J36" s="44">
        <v>339</v>
      </c>
      <c r="K36" s="42">
        <v>348</v>
      </c>
      <c r="L36" s="42"/>
    </row>
    <row r="37" spans="1:12" ht="12.75">
      <c r="A37" s="40" t="s">
        <v>72</v>
      </c>
      <c r="B37" s="44">
        <v>3031</v>
      </c>
      <c r="C37" s="44">
        <v>3057</v>
      </c>
      <c r="D37" s="44">
        <v>3047</v>
      </c>
      <c r="E37" s="44">
        <v>3074</v>
      </c>
      <c r="F37" s="44">
        <v>3126</v>
      </c>
      <c r="G37" s="44">
        <v>3104</v>
      </c>
      <c r="H37" s="44">
        <v>3125</v>
      </c>
      <c r="I37" s="44">
        <v>3134</v>
      </c>
      <c r="J37" s="44">
        <v>3157</v>
      </c>
      <c r="K37" s="42">
        <f>107+12+813+2228</f>
        <v>3160</v>
      </c>
      <c r="L37" s="42"/>
    </row>
    <row r="38" spans="1:12" ht="12.75">
      <c r="A38" s="40" t="s">
        <v>73</v>
      </c>
      <c r="B38" s="44">
        <v>673</v>
      </c>
      <c r="C38" s="44">
        <v>287</v>
      </c>
      <c r="D38" s="44">
        <v>317</v>
      </c>
      <c r="E38" s="44">
        <v>295</v>
      </c>
      <c r="F38" s="44">
        <v>317</v>
      </c>
      <c r="G38" s="44">
        <v>305</v>
      </c>
      <c r="H38" s="44">
        <v>385</v>
      </c>
      <c r="I38" s="44">
        <v>375</v>
      </c>
      <c r="J38" s="44">
        <v>381</v>
      </c>
      <c r="K38" s="42">
        <v>387</v>
      </c>
      <c r="L38" s="42"/>
    </row>
    <row r="39" spans="1:12" ht="12.75">
      <c r="A39" s="41" t="s">
        <v>25</v>
      </c>
      <c r="B39" s="45">
        <f aca="true" t="shared" si="0" ref="B39:G39">SUM(B23:B38)</f>
        <v>78978</v>
      </c>
      <c r="C39" s="45">
        <f t="shared" si="0"/>
        <v>79409</v>
      </c>
      <c r="D39" s="45">
        <f t="shared" si="0"/>
        <v>79777</v>
      </c>
      <c r="E39" s="45">
        <f t="shared" si="0"/>
        <v>80322</v>
      </c>
      <c r="F39" s="45">
        <f t="shared" si="0"/>
        <v>81178</v>
      </c>
      <c r="G39" s="45">
        <f t="shared" si="0"/>
        <v>80896</v>
      </c>
      <c r="H39" s="45">
        <f>SUM(H23:H38)</f>
        <v>82011</v>
      </c>
      <c r="I39" s="45">
        <f>SUM(I23:I38)</f>
        <v>81736</v>
      </c>
      <c r="J39" s="45">
        <f>SUM(J23:J38)</f>
        <v>81569</v>
      </c>
      <c r="K39" s="45">
        <f>SUM(K23:K38)</f>
        <v>80963</v>
      </c>
      <c r="L39" s="42"/>
    </row>
    <row r="40" spans="1:10" ht="12.75">
      <c r="A40" s="42"/>
      <c r="J40" s="42"/>
    </row>
    <row r="41" ht="12.75">
      <c r="A41" s="43" t="s">
        <v>78</v>
      </c>
    </row>
  </sheetData>
  <sheetProtection/>
  <printOptions/>
  <pageMargins left="0" right="0" top="0.3937007874015748" bottom="0.3937007874015748" header="0.5118110236220472" footer="0.11811023622047245"/>
  <pageSetup horizontalDpi="300" verticalDpi="300" orientation="landscape" paperSize="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27" sqref="F27"/>
    </sheetView>
  </sheetViews>
  <sheetFormatPr defaultColWidth="9.140625" defaultRowHeight="12.75"/>
  <cols>
    <col min="1" max="1" width="34.57421875" style="0" customWidth="1"/>
  </cols>
  <sheetData>
    <row r="1" spans="1:15" ht="15">
      <c r="A1" s="56" t="s">
        <v>110</v>
      </c>
      <c r="B1" s="57"/>
      <c r="C1" s="57"/>
      <c r="D1" s="57"/>
      <c r="E1" s="57"/>
      <c r="F1" s="57"/>
      <c r="G1" s="57"/>
      <c r="H1" s="58"/>
      <c r="I1" s="60"/>
      <c r="J1" s="61"/>
      <c r="K1" s="62"/>
      <c r="L1" s="61"/>
      <c r="M1" s="62"/>
      <c r="N1" s="61"/>
      <c r="O1" s="62"/>
    </row>
    <row r="3" spans="1:15" ht="12.75">
      <c r="A3" s="51" t="s">
        <v>77</v>
      </c>
      <c r="B3" s="48" t="s">
        <v>80</v>
      </c>
      <c r="C3" s="47" t="s">
        <v>81</v>
      </c>
      <c r="D3" s="47" t="s">
        <v>82</v>
      </c>
      <c r="E3" s="70" t="s">
        <v>83</v>
      </c>
      <c r="F3" s="48" t="s">
        <v>84</v>
      </c>
      <c r="G3" s="47" t="s">
        <v>85</v>
      </c>
      <c r="H3" s="75" t="s">
        <v>86</v>
      </c>
      <c r="I3" s="75" t="s">
        <v>87</v>
      </c>
      <c r="J3" s="48" t="s">
        <v>88</v>
      </c>
      <c r="K3" s="47" t="s">
        <v>89</v>
      </c>
      <c r="L3" s="48" t="s">
        <v>111</v>
      </c>
      <c r="M3" s="47" t="s">
        <v>112</v>
      </c>
      <c r="N3" s="48" t="s">
        <v>114</v>
      </c>
      <c r="O3" s="47" t="s">
        <v>115</v>
      </c>
    </row>
    <row r="4" spans="1:15" ht="12.75">
      <c r="A4" s="52" t="s">
        <v>90</v>
      </c>
      <c r="B4" s="44">
        <v>9897</v>
      </c>
      <c r="C4" s="53">
        <v>9822</v>
      </c>
      <c r="D4" s="71">
        <v>9623</v>
      </c>
      <c r="E4" s="73">
        <v>9569</v>
      </c>
      <c r="F4" s="73">
        <v>9518</v>
      </c>
      <c r="G4" s="76">
        <v>9504</v>
      </c>
      <c r="H4" s="73">
        <v>9441</v>
      </c>
      <c r="I4" s="77">
        <v>9400</v>
      </c>
      <c r="J4" s="77">
        <v>9096</v>
      </c>
      <c r="K4" s="77">
        <v>8954</v>
      </c>
      <c r="L4" s="77">
        <v>8850</v>
      </c>
      <c r="M4" s="77">
        <v>8759</v>
      </c>
      <c r="N4" s="77">
        <v>8699</v>
      </c>
      <c r="O4" s="77">
        <v>8680</v>
      </c>
    </row>
    <row r="5" spans="1:15" ht="12.75">
      <c r="A5" s="52" t="s">
        <v>91</v>
      </c>
      <c r="B5" s="42">
        <v>73</v>
      </c>
      <c r="C5" s="54">
        <v>68</v>
      </c>
      <c r="D5" s="71">
        <v>74</v>
      </c>
      <c r="E5" s="71">
        <v>78</v>
      </c>
      <c r="F5" s="71">
        <v>80</v>
      </c>
      <c r="G5" s="78">
        <v>79</v>
      </c>
      <c r="H5" s="71">
        <v>81</v>
      </c>
      <c r="I5" s="79">
        <v>79</v>
      </c>
      <c r="J5" s="79">
        <v>78</v>
      </c>
      <c r="K5" s="79">
        <v>81</v>
      </c>
      <c r="L5" s="79">
        <v>86</v>
      </c>
      <c r="M5" s="79">
        <v>88</v>
      </c>
      <c r="N5" s="79">
        <v>90</v>
      </c>
      <c r="O5" s="79">
        <v>85</v>
      </c>
    </row>
    <row r="6" spans="1:15" ht="12.75">
      <c r="A6" s="52" t="s">
        <v>92</v>
      </c>
      <c r="B6" s="44">
        <v>13710</v>
      </c>
      <c r="C6" s="55">
        <v>13433</v>
      </c>
      <c r="D6" s="71">
        <v>13225</v>
      </c>
      <c r="E6" s="71">
        <v>13201</v>
      </c>
      <c r="F6" s="71">
        <v>13285</v>
      </c>
      <c r="G6" s="78">
        <v>13255</v>
      </c>
      <c r="H6" s="71">
        <v>13188</v>
      </c>
      <c r="I6" s="79">
        <v>13032</v>
      </c>
      <c r="J6" s="79">
        <v>12936</v>
      </c>
      <c r="K6" s="79">
        <v>12786</v>
      </c>
      <c r="L6" s="79">
        <v>12765</v>
      </c>
      <c r="M6" s="79">
        <v>12673</v>
      </c>
      <c r="N6" s="79">
        <v>12685</v>
      </c>
      <c r="O6" s="79">
        <v>12582</v>
      </c>
    </row>
    <row r="7" spans="1:15" ht="12.75">
      <c r="A7" s="52" t="s">
        <v>93</v>
      </c>
      <c r="B7" s="42">
        <v>62</v>
      </c>
      <c r="C7" s="54">
        <v>70</v>
      </c>
      <c r="D7" s="71">
        <v>98</v>
      </c>
      <c r="E7" s="71">
        <v>113</v>
      </c>
      <c r="F7" s="71">
        <v>131</v>
      </c>
      <c r="G7" s="78">
        <v>169</v>
      </c>
      <c r="H7" s="71">
        <v>201</v>
      </c>
      <c r="I7" s="79">
        <v>220</v>
      </c>
      <c r="J7" s="79">
        <v>260</v>
      </c>
      <c r="K7" s="79">
        <v>272</v>
      </c>
      <c r="L7" s="79">
        <v>297</v>
      </c>
      <c r="M7" s="79">
        <v>300</v>
      </c>
      <c r="N7" s="79">
        <v>310</v>
      </c>
      <c r="O7" s="79">
        <v>294</v>
      </c>
    </row>
    <row r="8" spans="1:15" ht="12.75">
      <c r="A8" s="52" t="s">
        <v>94</v>
      </c>
      <c r="B8" s="42">
        <v>182</v>
      </c>
      <c r="C8" s="54">
        <v>181</v>
      </c>
      <c r="D8" s="71">
        <v>177</v>
      </c>
      <c r="E8" s="71">
        <v>180</v>
      </c>
      <c r="F8" s="71">
        <v>174</v>
      </c>
      <c r="G8" s="78">
        <v>178</v>
      </c>
      <c r="H8" s="71">
        <v>165</v>
      </c>
      <c r="I8" s="79">
        <v>168</v>
      </c>
      <c r="J8" s="79">
        <v>166</v>
      </c>
      <c r="K8" s="79">
        <v>172</v>
      </c>
      <c r="L8" s="79">
        <v>176</v>
      </c>
      <c r="M8" s="79">
        <v>187</v>
      </c>
      <c r="N8" s="79">
        <v>193</v>
      </c>
      <c r="O8" s="79">
        <v>195</v>
      </c>
    </row>
    <row r="9" spans="1:15" ht="12.75">
      <c r="A9" s="52" t="s">
        <v>95</v>
      </c>
      <c r="B9" s="44">
        <v>12807</v>
      </c>
      <c r="C9" s="55">
        <v>12559</v>
      </c>
      <c r="D9" s="71">
        <v>12385</v>
      </c>
      <c r="E9" s="71">
        <v>12370</v>
      </c>
      <c r="F9" s="71">
        <v>12364</v>
      </c>
      <c r="G9" s="78">
        <v>12304</v>
      </c>
      <c r="H9" s="71">
        <v>12123</v>
      </c>
      <c r="I9" s="79">
        <v>12141</v>
      </c>
      <c r="J9" s="79">
        <v>12084</v>
      </c>
      <c r="K9" s="79">
        <v>12052</v>
      </c>
      <c r="L9" s="79">
        <v>11980</v>
      </c>
      <c r="M9" s="79">
        <v>11898</v>
      </c>
      <c r="N9" s="79">
        <v>11877</v>
      </c>
      <c r="O9" s="79">
        <v>11768</v>
      </c>
    </row>
    <row r="10" spans="1:15" ht="12.75">
      <c r="A10" s="52" t="s">
        <v>96</v>
      </c>
      <c r="B10" s="44">
        <v>18642</v>
      </c>
      <c r="C10" s="55">
        <v>18663</v>
      </c>
      <c r="D10" s="71">
        <v>18782</v>
      </c>
      <c r="E10" s="71">
        <v>18907</v>
      </c>
      <c r="F10" s="71">
        <v>19069</v>
      </c>
      <c r="G10" s="78">
        <v>19109</v>
      </c>
      <c r="H10" s="71">
        <v>19008</v>
      </c>
      <c r="I10" s="79">
        <v>19008</v>
      </c>
      <c r="J10" s="79">
        <v>19072</v>
      </c>
      <c r="K10" s="79">
        <v>19139</v>
      </c>
      <c r="L10" s="79">
        <v>19105</v>
      </c>
      <c r="M10" s="79">
        <v>19070</v>
      </c>
      <c r="N10" s="79">
        <v>19167</v>
      </c>
      <c r="O10" s="79">
        <v>19020</v>
      </c>
    </row>
    <row r="11" spans="1:15" ht="12.75">
      <c r="A11" s="52" t="s">
        <v>97</v>
      </c>
      <c r="B11" s="44">
        <v>3234</v>
      </c>
      <c r="C11" s="55">
        <v>3208</v>
      </c>
      <c r="D11" s="71">
        <v>3186</v>
      </c>
      <c r="E11" s="71">
        <v>3294</v>
      </c>
      <c r="F11" s="71">
        <v>3258</v>
      </c>
      <c r="G11" s="78">
        <v>3267</v>
      </c>
      <c r="H11" s="71">
        <v>3286</v>
      </c>
      <c r="I11" s="79">
        <v>3262</v>
      </c>
      <c r="J11" s="79">
        <v>3174</v>
      </c>
      <c r="K11" s="79">
        <v>3121</v>
      </c>
      <c r="L11" s="79">
        <v>3123</v>
      </c>
      <c r="M11" s="79">
        <v>3095</v>
      </c>
      <c r="N11" s="79">
        <v>3070</v>
      </c>
      <c r="O11" s="79">
        <v>3051</v>
      </c>
    </row>
    <row r="12" spans="1:15" ht="12.75">
      <c r="A12" s="52" t="s">
        <v>98</v>
      </c>
      <c r="B12" s="44">
        <v>4247</v>
      </c>
      <c r="C12" s="55">
        <v>4255</v>
      </c>
      <c r="D12" s="71">
        <v>4324</v>
      </c>
      <c r="E12" s="71">
        <v>4413</v>
      </c>
      <c r="F12" s="71">
        <v>4433</v>
      </c>
      <c r="G12" s="78">
        <v>4457</v>
      </c>
      <c r="H12" s="71">
        <v>4469</v>
      </c>
      <c r="I12" s="79">
        <v>4503</v>
      </c>
      <c r="J12" s="79">
        <v>4609</v>
      </c>
      <c r="K12" s="79">
        <v>4623</v>
      </c>
      <c r="L12" s="79">
        <v>4688</v>
      </c>
      <c r="M12" s="79">
        <v>4684</v>
      </c>
      <c r="N12" s="79">
        <v>4758</v>
      </c>
      <c r="O12" s="79">
        <v>4805</v>
      </c>
    </row>
    <row r="13" spans="1:15" ht="12.75">
      <c r="A13" s="52" t="s">
        <v>99</v>
      </c>
      <c r="B13" s="44">
        <v>1488</v>
      </c>
      <c r="C13" s="55">
        <v>1486</v>
      </c>
      <c r="D13" s="71">
        <v>1529</v>
      </c>
      <c r="E13" s="71">
        <v>1531</v>
      </c>
      <c r="F13" s="71">
        <v>1545</v>
      </c>
      <c r="G13" s="78">
        <v>1571</v>
      </c>
      <c r="H13" s="71">
        <v>1600</v>
      </c>
      <c r="I13" s="79">
        <v>1620</v>
      </c>
      <c r="J13" s="79">
        <v>1653</v>
      </c>
      <c r="K13" s="79">
        <v>1641</v>
      </c>
      <c r="L13" s="79">
        <v>1704</v>
      </c>
      <c r="M13" s="79">
        <v>1712</v>
      </c>
      <c r="N13" s="79">
        <v>1759</v>
      </c>
      <c r="O13" s="79">
        <v>1753</v>
      </c>
    </row>
    <row r="14" spans="1:15" ht="12.75">
      <c r="A14" s="52" t="s">
        <v>100</v>
      </c>
      <c r="B14" s="44">
        <v>2218</v>
      </c>
      <c r="C14" s="55">
        <v>2215</v>
      </c>
      <c r="D14" s="71">
        <v>2177</v>
      </c>
      <c r="E14" s="71">
        <v>2141</v>
      </c>
      <c r="F14" s="71">
        <v>2182</v>
      </c>
      <c r="G14" s="78">
        <v>2125</v>
      </c>
      <c r="H14" s="71">
        <v>2197</v>
      </c>
      <c r="I14" s="79">
        <v>2145</v>
      </c>
      <c r="J14" s="79">
        <v>2154</v>
      </c>
      <c r="K14" s="79">
        <v>2161</v>
      </c>
      <c r="L14" s="79">
        <v>2155</v>
      </c>
      <c r="M14" s="79">
        <v>2146</v>
      </c>
      <c r="N14" s="79">
        <v>2144</v>
      </c>
      <c r="O14" s="79">
        <v>2152</v>
      </c>
    </row>
    <row r="15" spans="1:15" ht="12.75">
      <c r="A15" s="52" t="s">
        <v>101</v>
      </c>
      <c r="B15" s="44">
        <v>5385</v>
      </c>
      <c r="C15" s="55">
        <v>5346</v>
      </c>
      <c r="D15" s="71">
        <v>5366</v>
      </c>
      <c r="E15" s="71">
        <v>5414</v>
      </c>
      <c r="F15" s="71">
        <v>5499</v>
      </c>
      <c r="G15" s="78">
        <v>5501</v>
      </c>
      <c r="H15" s="71">
        <v>5574</v>
      </c>
      <c r="I15" s="79">
        <v>5527</v>
      </c>
      <c r="J15" s="79">
        <v>5528</v>
      </c>
      <c r="K15" s="79">
        <v>5525</v>
      </c>
      <c r="L15" s="79">
        <v>5497</v>
      </c>
      <c r="M15" s="79">
        <v>5414</v>
      </c>
      <c r="N15" s="79">
        <v>5463</v>
      </c>
      <c r="O15" s="79">
        <v>5446</v>
      </c>
    </row>
    <row r="16" spans="1:15" ht="12.75">
      <c r="A16" s="52" t="s">
        <v>102</v>
      </c>
      <c r="B16" s="44">
        <v>3271</v>
      </c>
      <c r="C16" s="55">
        <v>3295</v>
      </c>
      <c r="D16" s="71">
        <v>3310</v>
      </c>
      <c r="E16" s="71">
        <v>3359</v>
      </c>
      <c r="F16" s="71">
        <v>3495</v>
      </c>
      <c r="G16" s="78">
        <v>3489</v>
      </c>
      <c r="H16" s="71">
        <v>3497</v>
      </c>
      <c r="I16" s="79">
        <v>3490</v>
      </c>
      <c r="J16" s="79">
        <v>3539</v>
      </c>
      <c r="K16" s="79">
        <v>3532</v>
      </c>
      <c r="L16" s="79">
        <v>3567</v>
      </c>
      <c r="M16" s="79">
        <v>3587</v>
      </c>
      <c r="N16" s="79">
        <v>3642</v>
      </c>
      <c r="O16" s="79">
        <v>3625</v>
      </c>
    </row>
    <row r="17" spans="1:15" ht="12.75">
      <c r="A17" s="52" t="s">
        <v>103</v>
      </c>
      <c r="B17" s="44">
        <v>1744</v>
      </c>
      <c r="C17" s="55">
        <v>1750</v>
      </c>
      <c r="D17" s="71">
        <v>1766</v>
      </c>
      <c r="E17" s="71">
        <v>1751</v>
      </c>
      <c r="F17" s="71">
        <v>1772</v>
      </c>
      <c r="G17" s="78">
        <v>1782</v>
      </c>
      <c r="H17" s="71">
        <v>1816</v>
      </c>
      <c r="I17" s="79">
        <v>1838</v>
      </c>
      <c r="J17" s="79">
        <v>1902</v>
      </c>
      <c r="K17" s="79">
        <v>1917</v>
      </c>
      <c r="L17" s="79">
        <v>1969</v>
      </c>
      <c r="M17" s="79">
        <v>1978</v>
      </c>
      <c r="N17" s="79">
        <v>2042</v>
      </c>
      <c r="O17" s="79">
        <v>2108</v>
      </c>
    </row>
    <row r="18" spans="1:15" ht="12.75">
      <c r="A18" s="52" t="s">
        <v>104</v>
      </c>
      <c r="B18" s="42">
        <v>296</v>
      </c>
      <c r="C18" s="54">
        <v>285</v>
      </c>
      <c r="D18" s="71">
        <v>285</v>
      </c>
      <c r="E18" s="71">
        <v>294</v>
      </c>
      <c r="F18" s="71">
        <v>304</v>
      </c>
      <c r="G18" s="78">
        <v>301</v>
      </c>
      <c r="H18" s="71">
        <v>303</v>
      </c>
      <c r="I18" s="79">
        <v>304</v>
      </c>
      <c r="J18" s="79">
        <v>298</v>
      </c>
      <c r="K18" s="79">
        <v>290</v>
      </c>
      <c r="L18" s="79">
        <v>299</v>
      </c>
      <c r="M18" s="79">
        <v>311</v>
      </c>
      <c r="N18" s="79">
        <v>322</v>
      </c>
      <c r="O18" s="79">
        <v>325</v>
      </c>
    </row>
    <row r="19" spans="1:15" ht="12.75">
      <c r="A19" s="52" t="s">
        <v>105</v>
      </c>
      <c r="B19" s="42">
        <v>336</v>
      </c>
      <c r="C19" s="54">
        <v>346</v>
      </c>
      <c r="D19" s="71">
        <v>348</v>
      </c>
      <c r="E19" s="71">
        <v>358</v>
      </c>
      <c r="F19" s="71">
        <v>374</v>
      </c>
      <c r="G19" s="78">
        <v>380</v>
      </c>
      <c r="H19" s="71">
        <v>389</v>
      </c>
      <c r="I19" s="79">
        <v>394</v>
      </c>
      <c r="J19" s="79">
        <v>417</v>
      </c>
      <c r="K19" s="79">
        <v>418</v>
      </c>
      <c r="L19" s="79">
        <v>438</v>
      </c>
      <c r="M19" s="79">
        <v>445</v>
      </c>
      <c r="N19" s="79">
        <v>463</v>
      </c>
      <c r="O19" s="79">
        <v>482</v>
      </c>
    </row>
    <row r="20" spans="1:15" ht="12.75">
      <c r="A20" s="52" t="s">
        <v>106</v>
      </c>
      <c r="B20" s="42">
        <v>712</v>
      </c>
      <c r="C20" s="54">
        <v>717</v>
      </c>
      <c r="D20" s="71">
        <v>721</v>
      </c>
      <c r="E20" s="71">
        <v>733</v>
      </c>
      <c r="F20" s="71">
        <v>740</v>
      </c>
      <c r="G20" s="78">
        <v>738</v>
      </c>
      <c r="H20" s="71">
        <v>763</v>
      </c>
      <c r="I20" s="79">
        <v>763</v>
      </c>
      <c r="J20" s="79">
        <v>773</v>
      </c>
      <c r="K20" s="79">
        <v>803</v>
      </c>
      <c r="L20" s="79">
        <v>800</v>
      </c>
      <c r="M20" s="79">
        <v>781</v>
      </c>
      <c r="N20" s="79">
        <v>796</v>
      </c>
      <c r="O20" s="79">
        <v>801</v>
      </c>
    </row>
    <row r="21" spans="1:15" ht="12.75">
      <c r="A21" s="52" t="s">
        <v>107</v>
      </c>
      <c r="B21" s="44">
        <v>2886</v>
      </c>
      <c r="C21" s="55">
        <v>2879</v>
      </c>
      <c r="D21" s="71">
        <v>2917</v>
      </c>
      <c r="E21" s="71">
        <v>2953</v>
      </c>
      <c r="F21" s="71">
        <v>2969</v>
      </c>
      <c r="G21" s="78">
        <v>3003</v>
      </c>
      <c r="H21" s="71">
        <v>2989</v>
      </c>
      <c r="I21" s="79">
        <v>2987</v>
      </c>
      <c r="J21" s="79">
        <v>3019</v>
      </c>
      <c r="K21" s="79">
        <v>3004</v>
      </c>
      <c r="L21" s="79">
        <v>3015</v>
      </c>
      <c r="M21" s="79">
        <v>3046</v>
      </c>
      <c r="N21" s="79">
        <v>3067</v>
      </c>
      <c r="O21" s="79">
        <v>3080</v>
      </c>
    </row>
    <row r="22" spans="1:15" ht="12.75">
      <c r="A22" s="63" t="s">
        <v>108</v>
      </c>
      <c r="B22" s="64">
        <v>379</v>
      </c>
      <c r="C22" s="65">
        <v>385</v>
      </c>
      <c r="D22" s="71">
        <v>397</v>
      </c>
      <c r="E22" s="74">
        <v>391</v>
      </c>
      <c r="F22" s="71">
        <v>374</v>
      </c>
      <c r="G22" s="78">
        <v>408</v>
      </c>
      <c r="H22" s="74">
        <v>443</v>
      </c>
      <c r="I22" s="80">
        <v>427</v>
      </c>
      <c r="J22" s="80">
        <v>512</v>
      </c>
      <c r="K22" s="80">
        <v>448</v>
      </c>
      <c r="L22" s="80">
        <v>273</v>
      </c>
      <c r="M22" s="80">
        <v>293</v>
      </c>
      <c r="N22" s="80">
        <v>208</v>
      </c>
      <c r="O22" s="80">
        <v>216</v>
      </c>
    </row>
    <row r="23" spans="1:15" ht="12.75">
      <c r="A23" s="66" t="s">
        <v>25</v>
      </c>
      <c r="B23" s="67">
        <f aca="true" t="shared" si="0" ref="B23:G23">SUM(B4:B22)</f>
        <v>81569</v>
      </c>
      <c r="C23" s="68">
        <f t="shared" si="0"/>
        <v>80963</v>
      </c>
      <c r="D23" s="72">
        <f t="shared" si="0"/>
        <v>80690</v>
      </c>
      <c r="E23" s="72">
        <f t="shared" si="0"/>
        <v>81050</v>
      </c>
      <c r="F23" s="72">
        <f t="shared" si="0"/>
        <v>81566</v>
      </c>
      <c r="G23" s="72">
        <f t="shared" si="0"/>
        <v>81620</v>
      </c>
      <c r="H23" s="81">
        <f aca="true" t="shared" si="1" ref="H23:M23">SUM(H4:H22)</f>
        <v>81533</v>
      </c>
      <c r="I23" s="81">
        <f t="shared" si="1"/>
        <v>81308</v>
      </c>
      <c r="J23" s="81">
        <f t="shared" si="1"/>
        <v>81270</v>
      </c>
      <c r="K23" s="81">
        <f t="shared" si="1"/>
        <v>80939</v>
      </c>
      <c r="L23" s="81">
        <f t="shared" si="1"/>
        <v>80787</v>
      </c>
      <c r="M23" s="81">
        <f t="shared" si="1"/>
        <v>80467</v>
      </c>
      <c r="N23" s="81">
        <f>SUM(N4:N22)</f>
        <v>80755</v>
      </c>
      <c r="O23" s="81">
        <f>SUM(O4:O22)</f>
        <v>80468</v>
      </c>
    </row>
    <row r="24" ht="12.75">
      <c r="D24" s="42"/>
    </row>
    <row r="25" spans="1:4" ht="12.75">
      <c r="A25" t="s">
        <v>113</v>
      </c>
      <c r="D25" s="69"/>
    </row>
    <row r="26" ht="12.75">
      <c r="D26" s="69"/>
    </row>
    <row r="27" ht="12.75">
      <c r="D27" s="69"/>
    </row>
    <row r="28" ht="12.75">
      <c r="D28" s="69"/>
    </row>
    <row r="29" ht="12.75">
      <c r="D29" s="69"/>
    </row>
    <row r="30" ht="12.75">
      <c r="D30" s="6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Smith</dc:creator>
  <cp:keywords/>
  <dc:description/>
  <cp:lastModifiedBy>taddia_m</cp:lastModifiedBy>
  <cp:lastPrinted>2013-06-03T06:54:40Z</cp:lastPrinted>
  <dcterms:created xsi:type="dcterms:W3CDTF">2013-06-03T06:49:58Z</dcterms:created>
  <dcterms:modified xsi:type="dcterms:W3CDTF">2016-04-21T09:23:33Z</dcterms:modified>
  <cp:category/>
  <cp:version/>
  <cp:contentType/>
  <cp:contentStatus/>
</cp:coreProperties>
</file>